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\\10.7.206.52\Users\15527551-0\Desktop\Control de Gestión 2\3.  19.813 APS - Oficial\2024\03 Monitoreo 2024\03 Monitoreo al 30.06.2024\"/>
    </mc:Choice>
  </mc:AlternateContent>
  <xr:revisionPtr revIDLastSave="0" documentId="13_ncr:1_{D938D56F-DC12-4D83-9B6D-0C6E1F53AAD9}" xr6:coauthVersionLast="47" xr6:coauthVersionMax="47" xr10:uidLastSave="{00000000-0000-0000-0000-000000000000}"/>
  <bookViews>
    <workbookView xWindow="-120" yWindow="-120" windowWidth="29040" windowHeight="15720" tabRatio="732" firstSheet="1" activeTab="1" xr2:uid="{00000000-000D-0000-FFFF-FFFF00000000}"/>
  </bookViews>
  <sheets>
    <sheet name="Mapa 2024" sheetId="26" state="hidden" r:id="rId1"/>
    <sheet name="Junio 2024" sheetId="24" r:id="rId2"/>
    <sheet name="Hoja2" sheetId="33" r:id="rId3"/>
    <sheet name="Hoja1" sheetId="31" state="hidden" r:id="rId4"/>
    <sheet name="Formula denominador meta 1" sheetId="30" state="hidden" r:id="rId5"/>
    <sheet name="Fechas" sheetId="29" state="hidden" r:id="rId6"/>
    <sheet name="Horarios" sheetId="28" state="hidden" r:id="rId7"/>
    <sheet name="Rutas REM" sheetId="32" r:id="rId8"/>
    <sheet name="Cód REM" sheetId="27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_FilterDatabase" localSheetId="1" hidden="1">'Junio 2024'!$A$3:$ES$38</definedName>
    <definedName name="_xlnm.Print_Area" localSheetId="0">'Mapa 2024'!$E$1:$X$73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6" i="24" l="1"/>
  <c r="L35" i="24"/>
  <c r="L34" i="24"/>
  <c r="L33" i="24"/>
  <c r="L32" i="24"/>
  <c r="L31" i="24"/>
  <c r="L30" i="24"/>
  <c r="L28" i="24"/>
  <c r="L27" i="24"/>
  <c r="L25" i="24"/>
  <c r="L24" i="24"/>
  <c r="L23" i="24"/>
  <c r="L22" i="24"/>
  <c r="L20" i="24"/>
  <c r="L19" i="24"/>
  <c r="L18" i="24"/>
  <c r="L17" i="24"/>
  <c r="L16" i="24"/>
  <c r="L15" i="24"/>
  <c r="L14" i="24"/>
  <c r="L13" i="24"/>
  <c r="L12" i="24"/>
  <c r="L11" i="24"/>
  <c r="L10" i="24"/>
  <c r="L9" i="24"/>
  <c r="L8" i="24"/>
  <c r="L7" i="24"/>
  <c r="L6" i="24" a="1"/>
  <c r="L6" i="24" s="1"/>
  <c r="L5" i="24"/>
  <c r="L4" i="24"/>
  <c r="AQ36" i="24"/>
  <c r="AL36" i="24"/>
  <c r="AK36" i="24"/>
  <c r="AE36" i="24"/>
  <c r="AQ35" i="24"/>
  <c r="AL35" i="24"/>
  <c r="AK35" i="24"/>
  <c r="AE35" i="24"/>
  <c r="AQ34" i="24"/>
  <c r="AL34" i="24"/>
  <c r="AK34" i="24"/>
  <c r="AE34" i="24"/>
  <c r="AQ33" i="24"/>
  <c r="AL33" i="24"/>
  <c r="AK33" i="24"/>
  <c r="AE33" i="24"/>
  <c r="AQ32" i="24"/>
  <c r="AL32" i="24"/>
  <c r="AK32" i="24"/>
  <c r="AE32" i="24"/>
  <c r="AQ31" i="24"/>
  <c r="AL31" i="24"/>
  <c r="AK31" i="24"/>
  <c r="AE31" i="24"/>
  <c r="AQ30" i="24"/>
  <c r="AL30" i="24"/>
  <c r="AK30" i="24"/>
  <c r="AE30" i="24"/>
  <c r="AQ28" i="24"/>
  <c r="AL28" i="24"/>
  <c r="AK28" i="24"/>
  <c r="AE28" i="24"/>
  <c r="AQ27" i="24"/>
  <c r="AL27" i="24"/>
  <c r="AK27" i="24"/>
  <c r="AE27" i="24"/>
  <c r="AQ26" i="24"/>
  <c r="AL26" i="24"/>
  <c r="AK26" i="24"/>
  <c r="AE26" i="24"/>
  <c r="AQ25" i="24"/>
  <c r="AL25" i="24"/>
  <c r="AK25" i="24"/>
  <c r="AE25" i="24"/>
  <c r="AQ24" i="24"/>
  <c r="AL24" i="24"/>
  <c r="AK24" i="24"/>
  <c r="AE24" i="24"/>
  <c r="AQ23" i="24"/>
  <c r="AL23" i="24"/>
  <c r="AK23" i="24"/>
  <c r="AE23" i="24"/>
  <c r="AQ22" i="24"/>
  <c r="AL22" i="24"/>
  <c r="AK22" i="24"/>
  <c r="AE22" i="24"/>
  <c r="AQ20" i="24"/>
  <c r="AL20" i="24"/>
  <c r="AK20" i="24"/>
  <c r="AE20" i="24"/>
  <c r="AQ19" i="24"/>
  <c r="AL19" i="24"/>
  <c r="AK19" i="24"/>
  <c r="AE19" i="24"/>
  <c r="AQ18" i="24"/>
  <c r="AL18" i="24"/>
  <c r="AK18" i="24"/>
  <c r="AE18" i="24"/>
  <c r="AQ17" i="24"/>
  <c r="AL17" i="24"/>
  <c r="AK17" i="24"/>
  <c r="AE17" i="24"/>
  <c r="AQ16" i="24"/>
  <c r="AL16" i="24"/>
  <c r="AK16" i="24"/>
  <c r="AE16" i="24"/>
  <c r="AQ15" i="24"/>
  <c r="AL15" i="24"/>
  <c r="AK15" i="24"/>
  <c r="AE15" i="24"/>
  <c r="AQ14" i="24"/>
  <c r="AL14" i="24"/>
  <c r="AK14" i="24"/>
  <c r="AE14" i="24"/>
  <c r="AQ13" i="24"/>
  <c r="AL13" i="24"/>
  <c r="AK13" i="24"/>
  <c r="AE13" i="24"/>
  <c r="AQ12" i="24"/>
  <c r="AL12" i="24"/>
  <c r="AK12" i="24"/>
  <c r="AE12" i="24"/>
  <c r="AQ11" i="24"/>
  <c r="AL11" i="24"/>
  <c r="AK11" i="24"/>
  <c r="AE11" i="24"/>
  <c r="AQ10" i="24"/>
  <c r="AL10" i="24"/>
  <c r="AK10" i="24"/>
  <c r="AE10" i="24"/>
  <c r="AQ9" i="24"/>
  <c r="AL9" i="24"/>
  <c r="AK9" i="24"/>
  <c r="AE9" i="24"/>
  <c r="AQ8" i="24"/>
  <c r="AL8" i="24"/>
  <c r="AK8" i="24"/>
  <c r="AE8" i="24"/>
  <c r="AQ7" i="24"/>
  <c r="AL7" i="24"/>
  <c r="AK7" i="24"/>
  <c r="AE7" i="24"/>
  <c r="AQ6" i="24"/>
  <c r="AL6" i="24"/>
  <c r="AK6" i="24"/>
  <c r="AE6" i="24"/>
  <c r="AQ5" i="24"/>
  <c r="AL5" i="24"/>
  <c r="AK5" i="24"/>
  <c r="AE5" i="24"/>
  <c r="AQ4" i="24"/>
  <c r="AL4" i="24"/>
  <c r="AK4" i="24"/>
  <c r="AE4" i="24"/>
  <c r="X36" i="24"/>
  <c r="X35" i="24"/>
  <c r="X34" i="24"/>
  <c r="X33" i="24"/>
  <c r="X32" i="24"/>
  <c r="X31" i="24"/>
  <c r="X30" i="24"/>
  <c r="X28" i="24"/>
  <c r="X27" i="24"/>
  <c r="X25" i="24"/>
  <c r="X24" i="24"/>
  <c r="X23" i="24"/>
  <c r="X22" i="24"/>
  <c r="X20" i="24"/>
  <c r="X19" i="24"/>
  <c r="X18" i="24"/>
  <c r="X17" i="24"/>
  <c r="X16" i="24"/>
  <c r="X15" i="24"/>
  <c r="X14" i="24"/>
  <c r="X13" i="24"/>
  <c r="X12" i="24"/>
  <c r="X11" i="24"/>
  <c r="X10" i="24"/>
  <c r="X9" i="24"/>
  <c r="X8" i="24"/>
  <c r="X7" i="24"/>
  <c r="X6" i="24"/>
  <c r="X5" i="24"/>
  <c r="X4" i="24"/>
  <c r="S35" i="33"/>
  <c r="N35" i="33"/>
  <c r="L35" i="33"/>
  <c r="AX36" i="24"/>
  <c r="AW36" i="24"/>
  <c r="R36" i="24"/>
  <c r="G36" i="24"/>
  <c r="F36" i="24"/>
  <c r="S34" i="33"/>
  <c r="N34" i="33"/>
  <c r="L34" i="33"/>
  <c r="AX35" i="24"/>
  <c r="AW35" i="24"/>
  <c r="R35" i="24"/>
  <c r="G35" i="24"/>
  <c r="F35" i="24"/>
  <c r="S33" i="33"/>
  <c r="N33" i="33"/>
  <c r="L33" i="33"/>
  <c r="AX34" i="24"/>
  <c r="AW34" i="24"/>
  <c r="R34" i="24"/>
  <c r="G34" i="24"/>
  <c r="F34" i="24"/>
  <c r="S32" i="33"/>
  <c r="N32" i="33"/>
  <c r="L32" i="33"/>
  <c r="AX33" i="24"/>
  <c r="AW33" i="24"/>
  <c r="R33" i="24"/>
  <c r="G33" i="24"/>
  <c r="F33" i="24"/>
  <c r="S31" i="33"/>
  <c r="N31" i="33"/>
  <c r="L31" i="33"/>
  <c r="AX32" i="24"/>
  <c r="AW32" i="24"/>
  <c r="R32" i="24"/>
  <c r="G32" i="24"/>
  <c r="F32" i="24"/>
  <c r="S30" i="33"/>
  <c r="N30" i="33"/>
  <c r="L30" i="33"/>
  <c r="AX31" i="24"/>
  <c r="AW31" i="24"/>
  <c r="R31" i="24"/>
  <c r="G31" i="24"/>
  <c r="F31" i="24"/>
  <c r="S29" i="33"/>
  <c r="N29" i="33"/>
  <c r="L29" i="33"/>
  <c r="AX30" i="24"/>
  <c r="AW30" i="24"/>
  <c r="R30" i="24"/>
  <c r="G30" i="24"/>
  <c r="F30" i="24"/>
  <c r="S27" i="33"/>
  <c r="N27" i="33"/>
  <c r="L27" i="33"/>
  <c r="AX28" i="24"/>
  <c r="AW28" i="24"/>
  <c r="R28" i="24"/>
  <c r="G28" i="24"/>
  <c r="F28" i="24"/>
  <c r="S26" i="33"/>
  <c r="N26" i="33"/>
  <c r="L26" i="33"/>
  <c r="AX27" i="24"/>
  <c r="AW27" i="24"/>
  <c r="R27" i="24"/>
  <c r="G27" i="24"/>
  <c r="F27" i="24"/>
  <c r="S25" i="33"/>
  <c r="N25" i="33"/>
  <c r="L25" i="33"/>
  <c r="AX26" i="24"/>
  <c r="AW26" i="24"/>
  <c r="G26" i="24"/>
  <c r="F26" i="24"/>
  <c r="S24" i="33"/>
  <c r="N24" i="33"/>
  <c r="L24" i="33"/>
  <c r="AX25" i="24"/>
  <c r="AW25" i="24"/>
  <c r="R25" i="24"/>
  <c r="G25" i="24"/>
  <c r="F25" i="24"/>
  <c r="S23" i="33"/>
  <c r="N23" i="33"/>
  <c r="L23" i="33"/>
  <c r="AX24" i="24"/>
  <c r="AW24" i="24"/>
  <c r="R24" i="24"/>
  <c r="G24" i="24"/>
  <c r="F24" i="24"/>
  <c r="S22" i="33"/>
  <c r="N22" i="33"/>
  <c r="L22" i="33"/>
  <c r="AX23" i="24"/>
  <c r="AW23" i="24"/>
  <c r="R23" i="24"/>
  <c r="G23" i="24"/>
  <c r="F23" i="24"/>
  <c r="S21" i="33"/>
  <c r="N21" i="33"/>
  <c r="L21" i="33"/>
  <c r="AX22" i="24"/>
  <c r="AW22" i="24"/>
  <c r="R22" i="24"/>
  <c r="G22" i="24"/>
  <c r="F22" i="24"/>
  <c r="S19" i="33"/>
  <c r="N19" i="33"/>
  <c r="L19" i="33"/>
  <c r="AX20" i="24"/>
  <c r="AW20" i="24"/>
  <c r="R20" i="24"/>
  <c r="G20" i="24"/>
  <c r="F20" i="24"/>
  <c r="S18" i="33"/>
  <c r="N18" i="33"/>
  <c r="L18" i="33"/>
  <c r="AX19" i="24"/>
  <c r="AW19" i="24"/>
  <c r="R19" i="24"/>
  <c r="G19" i="24"/>
  <c r="F19" i="24"/>
  <c r="S17" i="33"/>
  <c r="N17" i="33"/>
  <c r="L17" i="33"/>
  <c r="AX18" i="24"/>
  <c r="AW18" i="24"/>
  <c r="R18" i="24"/>
  <c r="G18" i="24"/>
  <c r="F18" i="24"/>
  <c r="S16" i="33"/>
  <c r="N16" i="33"/>
  <c r="L16" i="33"/>
  <c r="AX17" i="24"/>
  <c r="AW17" i="24"/>
  <c r="R17" i="24"/>
  <c r="G17" i="24"/>
  <c r="F17" i="24"/>
  <c r="S15" i="33"/>
  <c r="N15" i="33"/>
  <c r="L15" i="33"/>
  <c r="AX16" i="24"/>
  <c r="AW16" i="24"/>
  <c r="R16" i="24"/>
  <c r="G16" i="24"/>
  <c r="F16" i="24"/>
  <c r="S14" i="33"/>
  <c r="N14" i="33"/>
  <c r="L14" i="33"/>
  <c r="AX15" i="24"/>
  <c r="AW15" i="24"/>
  <c r="R15" i="24"/>
  <c r="G15" i="24"/>
  <c r="F15" i="24"/>
  <c r="S13" i="33"/>
  <c r="N13" i="33"/>
  <c r="L13" i="33"/>
  <c r="AX14" i="24"/>
  <c r="AW14" i="24"/>
  <c r="R14" i="24"/>
  <c r="G14" i="24"/>
  <c r="F14" i="24"/>
  <c r="S12" i="33"/>
  <c r="N12" i="33"/>
  <c r="L12" i="33"/>
  <c r="AX13" i="24"/>
  <c r="AW13" i="24"/>
  <c r="R13" i="24"/>
  <c r="G13" i="24"/>
  <c r="F13" i="24"/>
  <c r="S11" i="33"/>
  <c r="N11" i="33"/>
  <c r="L11" i="33"/>
  <c r="AX12" i="24"/>
  <c r="AW12" i="24"/>
  <c r="R12" i="24"/>
  <c r="G12" i="24"/>
  <c r="F12" i="24"/>
  <c r="S10" i="33"/>
  <c r="N10" i="33"/>
  <c r="L10" i="33"/>
  <c r="AX11" i="24"/>
  <c r="AW11" i="24"/>
  <c r="R11" i="24"/>
  <c r="G11" i="24"/>
  <c r="F11" i="24"/>
  <c r="S9" i="33"/>
  <c r="N9" i="33"/>
  <c r="L9" i="33"/>
  <c r="AX10" i="24"/>
  <c r="AW10" i="24"/>
  <c r="R10" i="24"/>
  <c r="G10" i="24"/>
  <c r="F10" i="24"/>
  <c r="S8" i="33"/>
  <c r="N8" i="33"/>
  <c r="L8" i="33"/>
  <c r="AX9" i="24"/>
  <c r="AW9" i="24"/>
  <c r="R9" i="24"/>
  <c r="G9" i="24"/>
  <c r="F9" i="24"/>
  <c r="S7" i="33"/>
  <c r="N7" i="33"/>
  <c r="L7" i="33"/>
  <c r="AX8" i="24"/>
  <c r="AW8" i="24"/>
  <c r="R8" i="24"/>
  <c r="G8" i="24"/>
  <c r="F8" i="24"/>
  <c r="S6" i="33"/>
  <c r="N6" i="33"/>
  <c r="L6" i="33"/>
  <c r="AX7" i="24"/>
  <c r="AW7" i="24"/>
  <c r="R7" i="24"/>
  <c r="G7" i="24"/>
  <c r="F7" i="24"/>
  <c r="S5" i="33"/>
  <c r="N5" i="33"/>
  <c r="L5" i="33"/>
  <c r="AX6" i="24"/>
  <c r="AW6" i="24"/>
  <c r="R6" i="24"/>
  <c r="G6" i="24"/>
  <c r="F6" i="24"/>
  <c r="S4" i="33"/>
  <c r="N4" i="33"/>
  <c r="L4" i="33"/>
  <c r="AX5" i="24"/>
  <c r="AW5" i="24"/>
  <c r="R5" i="24"/>
  <c r="G5" i="24"/>
  <c r="F5" i="24"/>
  <c r="S3" i="33"/>
  <c r="N3" i="33"/>
  <c r="L3" i="33"/>
  <c r="AX4" i="24"/>
  <c r="AW4" i="24"/>
  <c r="R4" i="24"/>
  <c r="G4" i="24"/>
  <c r="F4" i="24"/>
  <c r="BC36" i="24"/>
  <c r="BC35" i="24"/>
  <c r="BC34" i="24"/>
  <c r="BC33" i="24"/>
  <c r="BC32" i="24"/>
  <c r="BC31" i="24"/>
  <c r="BC30" i="24"/>
  <c r="BC28" i="24"/>
  <c r="BC27" i="24"/>
  <c r="BC26" i="24"/>
  <c r="BC25" i="24"/>
  <c r="BC24" i="24"/>
  <c r="BC23" i="24"/>
  <c r="BC22" i="24"/>
  <c r="BC20" i="24"/>
  <c r="BC19" i="24"/>
  <c r="BC18" i="24"/>
  <c r="BC17" i="24"/>
  <c r="BC16" i="24"/>
  <c r="BC15" i="24"/>
  <c r="BC14" i="24"/>
  <c r="BC13" i="24"/>
  <c r="BC12" i="24"/>
  <c r="BC11" i="24"/>
  <c r="BC10" i="24"/>
  <c r="BC9" i="24"/>
  <c r="BC8" i="24"/>
  <c r="BC7" i="24"/>
  <c r="BC6" i="24"/>
  <c r="BC5" i="24"/>
  <c r="BC4" i="24"/>
  <c r="H26" i="24" l="1"/>
  <c r="I26" i="24" s="1"/>
  <c r="H25" i="24"/>
  <c r="I25" i="24" s="1"/>
  <c r="H17" i="24"/>
  <c r="I17" i="24" s="1"/>
  <c r="H12" i="24"/>
  <c r="I12" i="24" s="1"/>
  <c r="CR11" i="24"/>
  <c r="CR8" i="24"/>
  <c r="CR5" i="24"/>
  <c r="P33" i="33"/>
  <c r="P29" i="33"/>
  <c r="G25" i="33"/>
  <c r="H25" i="33" s="1"/>
  <c r="G18" i="33"/>
  <c r="H18" i="33" s="1"/>
  <c r="P16" i="33"/>
  <c r="P14" i="33"/>
  <c r="P13" i="33"/>
  <c r="G11" i="33"/>
  <c r="H11" i="33" s="1"/>
  <c r="P11" i="33"/>
  <c r="P8" i="33"/>
  <c r="CR4" i="24"/>
  <c r="P34" i="33"/>
  <c r="G23" i="33"/>
  <c r="H23" i="33" s="1"/>
  <c r="CR12" i="24"/>
  <c r="H24" i="24"/>
  <c r="I24" i="24" s="1"/>
  <c r="T36" i="24"/>
  <c r="U36" i="24" s="1"/>
  <c r="G34" i="33"/>
  <c r="H34" i="33" s="1"/>
  <c r="EI34" i="24"/>
  <c r="EI33" i="24"/>
  <c r="EH33" i="24"/>
  <c r="DC33" i="24"/>
  <c r="CQ33" i="24"/>
  <c r="P30" i="33"/>
  <c r="EI31" i="24"/>
  <c r="T31" i="24"/>
  <c r="DE31" i="24" s="1"/>
  <c r="H31" i="24"/>
  <c r="CS31" i="24" s="1"/>
  <c r="EI30" i="24"/>
  <c r="T30" i="24"/>
  <c r="U30" i="24" s="1"/>
  <c r="CQ30" i="24"/>
  <c r="G27" i="33"/>
  <c r="H27" i="33" s="1"/>
  <c r="T28" i="24"/>
  <c r="U28" i="24" s="1"/>
  <c r="T27" i="24"/>
  <c r="U27" i="24" s="1"/>
  <c r="P24" i="33"/>
  <c r="T25" i="24"/>
  <c r="U25" i="24" s="1"/>
  <c r="AY23" i="24"/>
  <c r="AZ23" i="24" s="1"/>
  <c r="T23" i="24"/>
  <c r="U23" i="24" s="1"/>
  <c r="G21" i="33"/>
  <c r="H21" i="33" s="1"/>
  <c r="AY22" i="24"/>
  <c r="AZ22" i="24" s="1"/>
  <c r="T22" i="24"/>
  <c r="U22" i="24" s="1"/>
  <c r="T20" i="24"/>
  <c r="U20" i="24" s="1"/>
  <c r="T19" i="24"/>
  <c r="U19" i="24" s="1"/>
  <c r="G17" i="33"/>
  <c r="H17" i="33" s="1"/>
  <c r="AY18" i="24"/>
  <c r="AZ18" i="24" s="1"/>
  <c r="G16" i="33"/>
  <c r="H16" i="33" s="1"/>
  <c r="T17" i="24"/>
  <c r="U17" i="24" s="1"/>
  <c r="H16" i="24"/>
  <c r="I16" i="24" s="1"/>
  <c r="T15" i="24"/>
  <c r="U15" i="24" s="1"/>
  <c r="T13" i="24"/>
  <c r="U13" i="24" s="1"/>
  <c r="T12" i="24"/>
  <c r="U12" i="24" s="1"/>
  <c r="CQ12" i="24"/>
  <c r="EI11" i="24"/>
  <c r="EH11" i="24"/>
  <c r="DC11" i="24"/>
  <c r="CQ11" i="24"/>
  <c r="T9" i="24"/>
  <c r="U9" i="24" s="1"/>
  <c r="DF9" i="24" s="1"/>
  <c r="CR9" i="24"/>
  <c r="CQ9" i="24"/>
  <c r="P7" i="33"/>
  <c r="EI8" i="24"/>
  <c r="EH8" i="24"/>
  <c r="DC8" i="24"/>
  <c r="CQ8" i="24"/>
  <c r="EH7" i="24"/>
  <c r="DC7" i="24"/>
  <c r="H7" i="24"/>
  <c r="T6" i="24"/>
  <c r="U6" i="24" s="1"/>
  <c r="DF6" i="24" s="1"/>
  <c r="CQ6" i="24"/>
  <c r="EH5" i="24"/>
  <c r="T5" i="24"/>
  <c r="U5" i="24" s="1"/>
  <c r="DF5" i="24" s="1"/>
  <c r="CQ5" i="24"/>
  <c r="EI4" i="24"/>
  <c r="EH4" i="24"/>
  <c r="DC4" i="24"/>
  <c r="H22" i="24"/>
  <c r="I22" i="24" s="1"/>
  <c r="CQ7" i="24"/>
  <c r="T18" i="24"/>
  <c r="U18" i="24" s="1"/>
  <c r="AY13" i="24"/>
  <c r="AZ13" i="24" s="1"/>
  <c r="H11" i="24"/>
  <c r="CS12" i="24" s="1"/>
  <c r="EI5" i="24"/>
  <c r="H35" i="24"/>
  <c r="I35" i="24" s="1"/>
  <c r="Z35" i="24"/>
  <c r="Z34" i="24"/>
  <c r="DK34" i="24" s="1"/>
  <c r="Z33" i="24"/>
  <c r="DK33" i="24" s="1"/>
  <c r="Z32" i="24"/>
  <c r="AA32" i="24" s="1"/>
  <c r="Z31" i="24"/>
  <c r="DI30" i="24"/>
  <c r="Z28" i="24"/>
  <c r="AA28" i="24" s="1"/>
  <c r="Z27" i="24"/>
  <c r="AA27" i="24" s="1"/>
  <c r="Z20" i="24"/>
  <c r="AA20" i="24" s="1"/>
  <c r="Z18" i="24"/>
  <c r="AA18" i="24" s="1"/>
  <c r="Z15" i="24"/>
  <c r="AA15" i="24" s="1"/>
  <c r="Z14" i="24"/>
  <c r="AA14" i="24" s="1"/>
  <c r="Z12" i="24"/>
  <c r="AA12" i="24" s="1"/>
  <c r="DI12" i="24"/>
  <c r="DI11" i="24"/>
  <c r="DI8" i="24"/>
  <c r="DI6" i="24"/>
  <c r="DI5" i="24"/>
  <c r="P27" i="33"/>
  <c r="G31" i="33"/>
  <c r="H31" i="33" s="1"/>
  <c r="G30" i="33"/>
  <c r="H30" i="33" s="1"/>
  <c r="G24" i="33"/>
  <c r="H24" i="33" s="1"/>
  <c r="G35" i="33"/>
  <c r="H35" i="33" s="1"/>
  <c r="EH34" i="24"/>
  <c r="Z36" i="24"/>
  <c r="AA36" i="24" s="1"/>
  <c r="Z17" i="24"/>
  <c r="AA17" i="24" s="1"/>
  <c r="Z16" i="24"/>
  <c r="AA16" i="24" s="1"/>
  <c r="H3" i="32"/>
  <c r="BL45" i="24"/>
  <c r="BK45" i="24"/>
  <c r="BJ45" i="24"/>
  <c r="BI45" i="24"/>
  <c r="BE45" i="24"/>
  <c r="BB45" i="24"/>
  <c r="AV45" i="24"/>
  <c r="AP45" i="24"/>
  <c r="AJ45" i="24"/>
  <c r="AD45" i="24"/>
  <c r="Y45" i="24"/>
  <c r="W45" i="24"/>
  <c r="Q45" i="24"/>
  <c r="K45" i="24"/>
  <c r="E45" i="24"/>
  <c r="BL44" i="24"/>
  <c r="BK44" i="24"/>
  <c r="BJ44" i="24"/>
  <c r="Y44" i="24"/>
  <c r="BL43" i="24"/>
  <c r="BK43" i="24"/>
  <c r="BJ43" i="24"/>
  <c r="Y43" i="24"/>
  <c r="S43" i="24"/>
  <c r="BL42" i="24"/>
  <c r="BK42" i="24"/>
  <c r="BJ42" i="24"/>
  <c r="Y42" i="24"/>
  <c r="BL38" i="24"/>
  <c r="BK38" i="24"/>
  <c r="BJ38" i="24"/>
  <c r="Y38" i="24"/>
  <c r="BL37" i="24"/>
  <c r="BK37" i="24"/>
  <c r="BJ37" i="24"/>
  <c r="BD37" i="24"/>
  <c r="BC37" i="24"/>
  <c r="BC44" i="24" s="1"/>
  <c r="AR37" i="24"/>
  <c r="AR44" i="24" s="1"/>
  <c r="AQ37" i="24"/>
  <c r="AQ44" i="24" s="1"/>
  <c r="AL37" i="24"/>
  <c r="AL44" i="24" s="1"/>
  <c r="AK37" i="24"/>
  <c r="AF37" i="24"/>
  <c r="AF44" i="24" s="1"/>
  <c r="AE37" i="24"/>
  <c r="AE44" i="24" s="1"/>
  <c r="Y37" i="24"/>
  <c r="S37" i="24"/>
  <c r="S44" i="24" s="1"/>
  <c r="M37" i="24"/>
  <c r="L37" i="24"/>
  <c r="L44" i="24" s="1"/>
  <c r="BM36" i="24"/>
  <c r="BL36" i="24"/>
  <c r="BE36" i="24"/>
  <c r="BF36" i="24" s="1"/>
  <c r="AS36" i="24"/>
  <c r="AT36" i="24" s="1"/>
  <c r="AM36" i="24"/>
  <c r="AN36" i="24" s="1"/>
  <c r="AG36" i="24"/>
  <c r="AH36" i="24" s="1"/>
  <c r="N36" i="24"/>
  <c r="O36" i="24" s="1"/>
  <c r="EQ35" i="24"/>
  <c r="EP35" i="24"/>
  <c r="EO35" i="24"/>
  <c r="EN35" i="24"/>
  <c r="DB35" i="24"/>
  <c r="BM35" i="24"/>
  <c r="BL35" i="24"/>
  <c r="BE35" i="24"/>
  <c r="BF35" i="24" s="1"/>
  <c r="AS35" i="24"/>
  <c r="AT35" i="24" s="1"/>
  <c r="AM35" i="24"/>
  <c r="AN35" i="24" s="1"/>
  <c r="AG35" i="24"/>
  <c r="AH35" i="24" s="1"/>
  <c r="N35" i="24"/>
  <c r="O35" i="24" s="1"/>
  <c r="EQ34" i="24"/>
  <c r="EP34" i="24"/>
  <c r="EO34" i="24"/>
  <c r="EN34" i="24"/>
  <c r="EM34" i="24"/>
  <c r="EG34" i="24"/>
  <c r="EE34" i="24"/>
  <c r="EC34" i="24"/>
  <c r="EB34" i="24"/>
  <c r="EA34" i="24"/>
  <c r="DW34" i="24"/>
  <c r="DV34" i="24"/>
  <c r="DU34" i="24"/>
  <c r="DQ34" i="24"/>
  <c r="DP34" i="24"/>
  <c r="DO34" i="24"/>
  <c r="DJ34" i="24"/>
  <c r="DI34" i="24"/>
  <c r="DH34" i="24"/>
  <c r="DD34" i="24"/>
  <c r="DD35" i="24" s="1"/>
  <c r="DC34" i="24"/>
  <c r="DB34" i="24"/>
  <c r="CX34" i="24"/>
  <c r="CW34" i="24"/>
  <c r="CV34" i="24"/>
  <c r="CP34" i="24"/>
  <c r="BM34" i="24"/>
  <c r="BL34" i="24"/>
  <c r="BE34" i="24"/>
  <c r="BF34" i="24" s="1"/>
  <c r="AS34" i="24"/>
  <c r="AT34" i="24" s="1"/>
  <c r="AM34" i="24"/>
  <c r="DX34" i="24" s="1"/>
  <c r="AG34" i="24"/>
  <c r="AH34" i="24" s="1"/>
  <c r="DS34" i="24" s="1"/>
  <c r="T34" i="24"/>
  <c r="N34" i="24"/>
  <c r="O34" i="24" s="1"/>
  <c r="CZ34" i="24" s="1"/>
  <c r="EQ33" i="24"/>
  <c r="EP33" i="24"/>
  <c r="EO33" i="24"/>
  <c r="EN33" i="24"/>
  <c r="EM33" i="24"/>
  <c r="EG33" i="24"/>
  <c r="EC33" i="24"/>
  <c r="EC35" i="24" s="1"/>
  <c r="EB33" i="24"/>
  <c r="EA33" i="24"/>
  <c r="DW33" i="24"/>
  <c r="DV33" i="24"/>
  <c r="DV35" i="24" s="1"/>
  <c r="DU33" i="24"/>
  <c r="DQ33" i="24"/>
  <c r="DP33" i="24"/>
  <c r="DO33" i="24"/>
  <c r="DJ33" i="24"/>
  <c r="DH33" i="24"/>
  <c r="DD33" i="24"/>
  <c r="DB33" i="24"/>
  <c r="CX33" i="24"/>
  <c r="CW33" i="24"/>
  <c r="CV33" i="24"/>
  <c r="CP33" i="24"/>
  <c r="BM33" i="24"/>
  <c r="BL33" i="24"/>
  <c r="BE33" i="24"/>
  <c r="BF33" i="24" s="1"/>
  <c r="AS33" i="24"/>
  <c r="ED33" i="24" s="1"/>
  <c r="AM33" i="24"/>
  <c r="DX33" i="24" s="1"/>
  <c r="AG33" i="24"/>
  <c r="AH33" i="24" s="1"/>
  <c r="DS33" i="24" s="1"/>
  <c r="N33" i="24"/>
  <c r="O33" i="24" s="1"/>
  <c r="CZ33" i="24" s="1"/>
  <c r="EQ32" i="24"/>
  <c r="EP32" i="24"/>
  <c r="EO32" i="24"/>
  <c r="EN32" i="24"/>
  <c r="DB32" i="24"/>
  <c r="BM32" i="24"/>
  <c r="BL32" i="24"/>
  <c r="BE32" i="24"/>
  <c r="BF32" i="24" s="1"/>
  <c r="AS32" i="24"/>
  <c r="AT32" i="24" s="1"/>
  <c r="AM32" i="24"/>
  <c r="AN32" i="24" s="1"/>
  <c r="AG32" i="24"/>
  <c r="AH32" i="24" s="1"/>
  <c r="T32" i="24"/>
  <c r="U32" i="24" s="1"/>
  <c r="N32" i="24"/>
  <c r="O32" i="24" s="1"/>
  <c r="EQ31" i="24"/>
  <c r="EP31" i="24"/>
  <c r="EO31" i="24"/>
  <c r="EN31" i="24"/>
  <c r="EM31" i="24"/>
  <c r="EG31" i="24"/>
  <c r="EC31" i="24"/>
  <c r="EB31" i="24"/>
  <c r="EA31" i="24"/>
  <c r="DW31" i="24"/>
  <c r="DV31" i="24"/>
  <c r="DU31" i="24"/>
  <c r="DQ31" i="24"/>
  <c r="DP31" i="24"/>
  <c r="DO31" i="24"/>
  <c r="DJ31" i="24"/>
  <c r="DH31" i="24"/>
  <c r="DD31" i="24"/>
  <c r="DB31" i="24"/>
  <c r="CX31" i="24"/>
  <c r="CW31" i="24"/>
  <c r="CV31" i="24"/>
  <c r="CP31" i="24"/>
  <c r="BM31" i="24"/>
  <c r="BL31" i="24"/>
  <c r="BE31" i="24"/>
  <c r="BF31" i="24" s="1"/>
  <c r="AS31" i="24"/>
  <c r="AT31" i="24" s="1"/>
  <c r="EE31" i="24" s="1"/>
  <c r="AM31" i="24"/>
  <c r="DX31" i="24" s="1"/>
  <c r="AG31" i="24"/>
  <c r="AH31" i="24" s="1"/>
  <c r="DS31" i="24" s="1"/>
  <c r="N31" i="24"/>
  <c r="CY31" i="24" s="1"/>
  <c r="EQ30" i="24"/>
  <c r="EP30" i="24"/>
  <c r="EO30" i="24"/>
  <c r="EN30" i="24"/>
  <c r="EM30" i="24"/>
  <c r="EG30" i="24"/>
  <c r="EC30" i="24"/>
  <c r="EB30" i="24"/>
  <c r="EA30" i="24"/>
  <c r="DW30" i="24"/>
  <c r="DW32" i="24" s="1"/>
  <c r="DV30" i="24"/>
  <c r="DU30" i="24"/>
  <c r="DQ30" i="24"/>
  <c r="DQ32" i="24" s="1"/>
  <c r="DP30" i="24"/>
  <c r="DO30" i="24"/>
  <c r="DJ30" i="24"/>
  <c r="DH30" i="24"/>
  <c r="DD30" i="24"/>
  <c r="DC30" i="24"/>
  <c r="DB30" i="24"/>
  <c r="CX30" i="24"/>
  <c r="CW30" i="24"/>
  <c r="CV30" i="24"/>
  <c r="CP30" i="24"/>
  <c r="BM30" i="24"/>
  <c r="BL30" i="24"/>
  <c r="BE30" i="24"/>
  <c r="BF30" i="24" s="1"/>
  <c r="AS30" i="24"/>
  <c r="AT30" i="24" s="1"/>
  <c r="EE30" i="24" s="1"/>
  <c r="AM30" i="24"/>
  <c r="DX30" i="24" s="1"/>
  <c r="AG30" i="24"/>
  <c r="DR30" i="24" s="1"/>
  <c r="N30" i="24"/>
  <c r="O30" i="24" s="1"/>
  <c r="CZ30" i="24" s="1"/>
  <c r="BL29" i="24"/>
  <c r="BK29" i="24"/>
  <c r="BJ29" i="24"/>
  <c r="BD29" i="24"/>
  <c r="BC29" i="24"/>
  <c r="BC43" i="24" s="1"/>
  <c r="AR29" i="24"/>
  <c r="AQ29" i="24"/>
  <c r="AQ43" i="24" s="1"/>
  <c r="AL29" i="24"/>
  <c r="AL43" i="24" s="1"/>
  <c r="AK29" i="24"/>
  <c r="AK43" i="24" s="1"/>
  <c r="AF29" i="24"/>
  <c r="AF43" i="24" s="1"/>
  <c r="AE29" i="24"/>
  <c r="AE43" i="24" s="1"/>
  <c r="Y29" i="24"/>
  <c r="S29" i="24"/>
  <c r="M29" i="24"/>
  <c r="L29" i="24"/>
  <c r="L43" i="24" s="1"/>
  <c r="BM28" i="24"/>
  <c r="BL28" i="24"/>
  <c r="BE28" i="24"/>
  <c r="BF28" i="24" s="1"/>
  <c r="AS28" i="24"/>
  <c r="AT28" i="24" s="1"/>
  <c r="AM28" i="24"/>
  <c r="AN28" i="24" s="1"/>
  <c r="AG28" i="24"/>
  <c r="AH28" i="24" s="1"/>
  <c r="N28" i="24"/>
  <c r="O28" i="24" s="1"/>
  <c r="BM27" i="24"/>
  <c r="BL27" i="24"/>
  <c r="BE27" i="24"/>
  <c r="BF27" i="24" s="1"/>
  <c r="AS27" i="24"/>
  <c r="AT27" i="24" s="1"/>
  <c r="AM27" i="24"/>
  <c r="AN27" i="24" s="1"/>
  <c r="AG27" i="24"/>
  <c r="AH27" i="24" s="1"/>
  <c r="N27" i="24"/>
  <c r="O27" i="24" s="1"/>
  <c r="BM26" i="24"/>
  <c r="BL26" i="24"/>
  <c r="BF26" i="24"/>
  <c r="BE26" i="24"/>
  <c r="AZ26" i="24"/>
  <c r="AY26" i="24"/>
  <c r="AS26" i="24"/>
  <c r="AT26" i="24" s="1"/>
  <c r="AM26" i="24"/>
  <c r="AN26" i="24" s="1"/>
  <c r="AG26" i="24"/>
  <c r="AH26" i="24" s="1"/>
  <c r="AA26" i="24"/>
  <c r="AB26" i="24" s="1"/>
  <c r="Z26" i="24"/>
  <c r="U26" i="24"/>
  <c r="T26" i="24"/>
  <c r="O26" i="24"/>
  <c r="N26" i="24"/>
  <c r="BM25" i="24"/>
  <c r="BL25" i="24"/>
  <c r="BE25" i="24"/>
  <c r="BF25" i="24" s="1"/>
  <c r="AS25" i="24"/>
  <c r="AT25" i="24" s="1"/>
  <c r="AM25" i="24"/>
  <c r="AN25" i="24" s="1"/>
  <c r="AG25" i="24"/>
  <c r="AH25" i="24" s="1"/>
  <c r="Z25" i="24"/>
  <c r="AA25" i="24" s="1"/>
  <c r="N25" i="24"/>
  <c r="O25" i="24" s="1"/>
  <c r="BM24" i="24"/>
  <c r="BL24" i="24"/>
  <c r="BE24" i="24"/>
  <c r="BF24" i="24" s="1"/>
  <c r="AS24" i="24"/>
  <c r="AT24" i="24" s="1"/>
  <c r="AM24" i="24"/>
  <c r="AN24" i="24" s="1"/>
  <c r="AG24" i="24"/>
  <c r="AH24" i="24" s="1"/>
  <c r="Z24" i="24"/>
  <c r="AA24" i="24" s="1"/>
  <c r="T24" i="24"/>
  <c r="U24" i="24" s="1"/>
  <c r="N24" i="24"/>
  <c r="O24" i="24" s="1"/>
  <c r="BM23" i="24"/>
  <c r="BL23" i="24"/>
  <c r="BE23" i="24"/>
  <c r="BF23" i="24" s="1"/>
  <c r="AS23" i="24"/>
  <c r="AT23" i="24" s="1"/>
  <c r="AM23" i="24"/>
  <c r="AN23" i="24" s="1"/>
  <c r="AG23" i="24"/>
  <c r="AH23" i="24" s="1"/>
  <c r="N23" i="24"/>
  <c r="O23" i="24" s="1"/>
  <c r="BM22" i="24"/>
  <c r="BL22" i="24"/>
  <c r="BE22" i="24"/>
  <c r="BF22" i="24" s="1"/>
  <c r="AS22" i="24"/>
  <c r="AT22" i="24" s="1"/>
  <c r="AM22" i="24"/>
  <c r="AN22" i="24" s="1"/>
  <c r="AG22" i="24"/>
  <c r="AH22" i="24" s="1"/>
  <c r="Z22" i="24"/>
  <c r="AA22" i="24" s="1"/>
  <c r="N22" i="24"/>
  <c r="O22" i="24" s="1"/>
  <c r="BL21" i="24"/>
  <c r="BK21" i="24"/>
  <c r="BJ21" i="24"/>
  <c r="BD21" i="24"/>
  <c r="BD42" i="24" s="1"/>
  <c r="BC21" i="24"/>
  <c r="BC42" i="24" s="1"/>
  <c r="AR21" i="24"/>
  <c r="AQ21" i="24"/>
  <c r="AL21" i="24"/>
  <c r="AK21" i="24"/>
  <c r="AF21" i="24"/>
  <c r="AE21" i="24"/>
  <c r="Y21" i="24"/>
  <c r="S21" i="24"/>
  <c r="M21" i="24"/>
  <c r="L21" i="24"/>
  <c r="BM20" i="24"/>
  <c r="BL20" i="24"/>
  <c r="BE20" i="24"/>
  <c r="BF20" i="24" s="1"/>
  <c r="AY20" i="24"/>
  <c r="AZ20" i="24" s="1"/>
  <c r="AS20" i="24"/>
  <c r="AT20" i="24" s="1"/>
  <c r="AM20" i="24"/>
  <c r="AN20" i="24" s="1"/>
  <c r="AG20" i="24"/>
  <c r="AH20" i="24" s="1"/>
  <c r="N20" i="24"/>
  <c r="O20" i="24" s="1"/>
  <c r="BM19" i="24"/>
  <c r="BL19" i="24"/>
  <c r="BE19" i="24"/>
  <c r="BF19" i="24" s="1"/>
  <c r="AS19" i="24"/>
  <c r="AT19" i="24" s="1"/>
  <c r="AM19" i="24"/>
  <c r="AN19" i="24" s="1"/>
  <c r="AG19" i="24"/>
  <c r="AH19" i="24" s="1"/>
  <c r="Z19" i="24"/>
  <c r="AA19" i="24" s="1"/>
  <c r="N19" i="24"/>
  <c r="O19" i="24" s="1"/>
  <c r="H19" i="24"/>
  <c r="I19" i="24" s="1"/>
  <c r="BM18" i="24"/>
  <c r="BL18" i="24"/>
  <c r="BE18" i="24"/>
  <c r="BF18" i="24" s="1"/>
  <c r="AS18" i="24"/>
  <c r="AT18" i="24" s="1"/>
  <c r="AM18" i="24"/>
  <c r="AN18" i="24" s="1"/>
  <c r="AG18" i="24"/>
  <c r="AH18" i="24" s="1"/>
  <c r="N18" i="24"/>
  <c r="O18" i="24" s="1"/>
  <c r="H18" i="24"/>
  <c r="I18" i="24" s="1"/>
  <c r="BM17" i="24"/>
  <c r="BL17" i="24"/>
  <c r="BE17" i="24"/>
  <c r="BF17" i="24" s="1"/>
  <c r="AS17" i="24"/>
  <c r="AT17" i="24" s="1"/>
  <c r="AM17" i="24"/>
  <c r="AN17" i="24" s="1"/>
  <c r="AG17" i="24"/>
  <c r="AH17" i="24" s="1"/>
  <c r="N17" i="24"/>
  <c r="O17" i="24" s="1"/>
  <c r="BM16" i="24"/>
  <c r="BL16" i="24"/>
  <c r="BE16" i="24"/>
  <c r="BF16" i="24" s="1"/>
  <c r="AS16" i="24"/>
  <c r="AT16" i="24" s="1"/>
  <c r="AM16" i="24"/>
  <c r="AN16" i="24" s="1"/>
  <c r="AG16" i="24"/>
  <c r="AH16" i="24" s="1"/>
  <c r="T16" i="24"/>
  <c r="U16" i="24" s="1"/>
  <c r="N16" i="24"/>
  <c r="O16" i="24" s="1"/>
  <c r="BM15" i="24"/>
  <c r="BL15" i="24"/>
  <c r="BE15" i="24"/>
  <c r="BF15" i="24" s="1"/>
  <c r="AS15" i="24"/>
  <c r="AT15" i="24" s="1"/>
  <c r="AM15" i="24"/>
  <c r="AN15" i="24" s="1"/>
  <c r="AG15" i="24"/>
  <c r="AH15" i="24" s="1"/>
  <c r="N15" i="24"/>
  <c r="O15" i="24" s="1"/>
  <c r="BM14" i="24"/>
  <c r="BL14" i="24"/>
  <c r="BE14" i="24"/>
  <c r="BF14" i="24" s="1"/>
  <c r="AS14" i="24"/>
  <c r="AT14" i="24" s="1"/>
  <c r="AM14" i="24"/>
  <c r="AN14" i="24" s="1"/>
  <c r="AG14" i="24"/>
  <c r="AH14" i="24" s="1"/>
  <c r="T14" i="24"/>
  <c r="U14" i="24" s="1"/>
  <c r="N14" i="24"/>
  <c r="O14" i="24" s="1"/>
  <c r="EQ13" i="24"/>
  <c r="EP13" i="24"/>
  <c r="EO13" i="24"/>
  <c r="EN13" i="24"/>
  <c r="DD13" i="24"/>
  <c r="DB13" i="24"/>
  <c r="BM13" i="24"/>
  <c r="BL13" i="24"/>
  <c r="BE13" i="24"/>
  <c r="BF13" i="24" s="1"/>
  <c r="AS13" i="24"/>
  <c r="AT13" i="24" s="1"/>
  <c r="AM13" i="24"/>
  <c r="AN13" i="24" s="1"/>
  <c r="AG13" i="24"/>
  <c r="AH13" i="24" s="1"/>
  <c r="Z13" i="24"/>
  <c r="DL13" i="24" s="1"/>
  <c r="N13" i="24"/>
  <c r="O13" i="24" s="1"/>
  <c r="EQ12" i="24"/>
  <c r="EP12" i="24"/>
  <c r="EO12" i="24"/>
  <c r="EN12" i="24"/>
  <c r="EM12" i="24"/>
  <c r="EH12" i="24"/>
  <c r="EG12" i="24"/>
  <c r="EC12" i="24"/>
  <c r="EB12" i="24"/>
  <c r="EA12" i="24"/>
  <c r="DW12" i="24"/>
  <c r="DV12" i="24"/>
  <c r="DU12" i="24"/>
  <c r="DQ12" i="24"/>
  <c r="DP12" i="24"/>
  <c r="DO12" i="24"/>
  <c r="DJ12" i="24"/>
  <c r="DH12" i="24"/>
  <c r="DD12" i="24"/>
  <c r="DB12" i="24"/>
  <c r="CX12" i="24"/>
  <c r="CW12" i="24"/>
  <c r="CV12" i="24"/>
  <c r="CP12" i="24"/>
  <c r="BM12" i="24"/>
  <c r="BL12" i="24"/>
  <c r="BF12" i="24"/>
  <c r="BE12" i="24"/>
  <c r="AS12" i="24"/>
  <c r="AT12" i="24" s="1"/>
  <c r="AM12" i="24"/>
  <c r="AN12" i="24" s="1"/>
  <c r="AG12" i="24"/>
  <c r="AH12" i="24" s="1"/>
  <c r="N12" i="24"/>
  <c r="O12" i="24" s="1"/>
  <c r="EQ11" i="24"/>
  <c r="EP11" i="24"/>
  <c r="EO11" i="24"/>
  <c r="EN11" i="24"/>
  <c r="EM11" i="24"/>
  <c r="EG11" i="24"/>
  <c r="EC11" i="24"/>
  <c r="EB11" i="24"/>
  <c r="EA11" i="24"/>
  <c r="DW11" i="24"/>
  <c r="DV11" i="24"/>
  <c r="DU11" i="24"/>
  <c r="DQ11" i="24"/>
  <c r="DP11" i="24"/>
  <c r="DO11" i="24"/>
  <c r="DJ11" i="24"/>
  <c r="DJ13" i="24" s="1"/>
  <c r="DH11" i="24"/>
  <c r="DD11" i="24"/>
  <c r="DB11" i="24"/>
  <c r="CX11" i="24"/>
  <c r="CW11" i="24"/>
  <c r="CV11" i="24"/>
  <c r="CP11" i="24"/>
  <c r="BM11" i="24"/>
  <c r="BL11" i="24"/>
  <c r="BE11" i="24"/>
  <c r="BF11" i="24" s="1"/>
  <c r="AS11" i="24"/>
  <c r="AT11" i="24" s="1"/>
  <c r="EE12" i="24" s="1"/>
  <c r="AN11" i="24"/>
  <c r="DY12" i="24" s="1"/>
  <c r="AM11" i="24"/>
  <c r="DX12" i="24" s="1"/>
  <c r="AG11" i="24"/>
  <c r="AH11" i="24" s="1"/>
  <c r="DS12" i="24" s="1"/>
  <c r="DC12" i="24"/>
  <c r="N11" i="24"/>
  <c r="O11" i="24" s="1"/>
  <c r="CZ12" i="24" s="1"/>
  <c r="EQ10" i="24"/>
  <c r="EP10" i="24"/>
  <c r="EO10" i="24"/>
  <c r="EN10" i="24"/>
  <c r="DJ10" i="24"/>
  <c r="DB10" i="24"/>
  <c r="BM10" i="24"/>
  <c r="BL10" i="24"/>
  <c r="BE10" i="24"/>
  <c r="BF10" i="24" s="1"/>
  <c r="AS10" i="24"/>
  <c r="AT10" i="24" s="1"/>
  <c r="EE11" i="24" s="1"/>
  <c r="AM10" i="24"/>
  <c r="DX11" i="24" s="1"/>
  <c r="AG10" i="24"/>
  <c r="DR11" i="24" s="1"/>
  <c r="N10" i="24"/>
  <c r="O10" i="24" s="1"/>
  <c r="CZ11" i="24" s="1"/>
  <c r="EQ9" i="24"/>
  <c r="EP9" i="24"/>
  <c r="EO9" i="24"/>
  <c r="EN9" i="24"/>
  <c r="EM9" i="24"/>
  <c r="EI9" i="24"/>
  <c r="EG9" i="24"/>
  <c r="EC9" i="24"/>
  <c r="EB9" i="24"/>
  <c r="EA9" i="24"/>
  <c r="DW9" i="24"/>
  <c r="DV9" i="24"/>
  <c r="DU9" i="24"/>
  <c r="DQ9" i="24"/>
  <c r="DP9" i="24"/>
  <c r="DO9" i="24"/>
  <c r="DJ9" i="24"/>
  <c r="DI9" i="24"/>
  <c r="DH9" i="24"/>
  <c r="DD9" i="24"/>
  <c r="DB9" i="24"/>
  <c r="CX9" i="24"/>
  <c r="CW9" i="24"/>
  <c r="CV9" i="24"/>
  <c r="CP9" i="24"/>
  <c r="BM9" i="24"/>
  <c r="BL9" i="24"/>
  <c r="BE9" i="24"/>
  <c r="BF9" i="24" s="1"/>
  <c r="AS9" i="24"/>
  <c r="ED9" i="24" s="1"/>
  <c r="AM9" i="24"/>
  <c r="AN9" i="24" s="1"/>
  <c r="DY9" i="24" s="1"/>
  <c r="AG9" i="24"/>
  <c r="AH9" i="24" s="1"/>
  <c r="DS9" i="24" s="1"/>
  <c r="Z9" i="24"/>
  <c r="DK9" i="24" s="1"/>
  <c r="N9" i="24"/>
  <c r="CY9" i="24" s="1"/>
  <c r="EQ8" i="24"/>
  <c r="EP8" i="24"/>
  <c r="EO8" i="24"/>
  <c r="EN8" i="24"/>
  <c r="EM8" i="24"/>
  <c r="EG8" i="24"/>
  <c r="EC8" i="24"/>
  <c r="EB8" i="24"/>
  <c r="EA8" i="24"/>
  <c r="DW8" i="24"/>
  <c r="DV8" i="24"/>
  <c r="DU8" i="24"/>
  <c r="DQ8" i="24"/>
  <c r="DP8" i="24"/>
  <c r="DO8" i="24"/>
  <c r="DJ8" i="24"/>
  <c r="DH8" i="24"/>
  <c r="DD8" i="24"/>
  <c r="DB8" i="24"/>
  <c r="CX8" i="24"/>
  <c r="CW8" i="24"/>
  <c r="CV8" i="24"/>
  <c r="CP8" i="24"/>
  <c r="BM8" i="24"/>
  <c r="BL8" i="24"/>
  <c r="BE8" i="24"/>
  <c r="BF8" i="24" s="1"/>
  <c r="AS8" i="24"/>
  <c r="ED8" i="24" s="1"/>
  <c r="AM8" i="24"/>
  <c r="AN8" i="24" s="1"/>
  <c r="DY8" i="24" s="1"/>
  <c r="AG8" i="24"/>
  <c r="DR8" i="24" s="1"/>
  <c r="Z8" i="24"/>
  <c r="DK8" i="24" s="1"/>
  <c r="N8" i="24"/>
  <c r="O8" i="24" s="1"/>
  <c r="CZ8" i="24" s="1"/>
  <c r="EQ7" i="24"/>
  <c r="EP7" i="24"/>
  <c r="EO7" i="24"/>
  <c r="EN7" i="24"/>
  <c r="EM7" i="24"/>
  <c r="EG7" i="24"/>
  <c r="EC7" i="24"/>
  <c r="EB7" i="24"/>
  <c r="EA7" i="24"/>
  <c r="DW7" i="24"/>
  <c r="DV7" i="24"/>
  <c r="DU7" i="24"/>
  <c r="DQ7" i="24"/>
  <c r="DP7" i="24"/>
  <c r="DO7" i="24"/>
  <c r="DJ7" i="24"/>
  <c r="DI7" i="24"/>
  <c r="DH7" i="24"/>
  <c r="DD7" i="24"/>
  <c r="DB7" i="24"/>
  <c r="CX7" i="24"/>
  <c r="CW7" i="24"/>
  <c r="CV7" i="24"/>
  <c r="CP7" i="24"/>
  <c r="BM7" i="24"/>
  <c r="BL7" i="24"/>
  <c r="BE7" i="24"/>
  <c r="BF7" i="24" s="1"/>
  <c r="AS7" i="24"/>
  <c r="ED7" i="24" s="1"/>
  <c r="AM7" i="24"/>
  <c r="DX7" i="24" s="1"/>
  <c r="AG7" i="24"/>
  <c r="DR7" i="24" s="1"/>
  <c r="Z7" i="24"/>
  <c r="DK7" i="24" s="1"/>
  <c r="N7" i="24"/>
  <c r="CY7" i="24" s="1"/>
  <c r="EQ6" i="24"/>
  <c r="EP6" i="24"/>
  <c r="EO6" i="24"/>
  <c r="EN6" i="24"/>
  <c r="EM6" i="24"/>
  <c r="EI6" i="24"/>
  <c r="EH6" i="24"/>
  <c r="EG6" i="24"/>
  <c r="EC6" i="24"/>
  <c r="EB6" i="24"/>
  <c r="EA6" i="24"/>
  <c r="DW6" i="24"/>
  <c r="DV6" i="24"/>
  <c r="DU6" i="24"/>
  <c r="DQ6" i="24"/>
  <c r="DP6" i="24"/>
  <c r="DO6" i="24"/>
  <c r="DJ6" i="24"/>
  <c r="DH6" i="24"/>
  <c r="DD6" i="24"/>
  <c r="DB6" i="24"/>
  <c r="CX6" i="24"/>
  <c r="CW6" i="24"/>
  <c r="CV6" i="24"/>
  <c r="CP6" i="24"/>
  <c r="BM6" i="24"/>
  <c r="BL6" i="24"/>
  <c r="BE6" i="24"/>
  <c r="BF6" i="24" s="1"/>
  <c r="AS6" i="24"/>
  <c r="ED6" i="24" s="1"/>
  <c r="AM6" i="24"/>
  <c r="DX6" i="24" s="1"/>
  <c r="AG6" i="24"/>
  <c r="DR6" i="24" s="1"/>
  <c r="N6" i="24"/>
  <c r="CY6" i="24" s="1"/>
  <c r="EQ5" i="24"/>
  <c r="EP5" i="24"/>
  <c r="EO5" i="24"/>
  <c r="EN5" i="24"/>
  <c r="EM5" i="24"/>
  <c r="EG5" i="24"/>
  <c r="EC5" i="24"/>
  <c r="EB5" i="24"/>
  <c r="EA5" i="24"/>
  <c r="DW5" i="24"/>
  <c r="DV5" i="24"/>
  <c r="DU5" i="24"/>
  <c r="DQ5" i="24"/>
  <c r="DP5" i="24"/>
  <c r="DO5" i="24"/>
  <c r="DJ5" i="24"/>
  <c r="DH5" i="24"/>
  <c r="DD5" i="24"/>
  <c r="DB5" i="24"/>
  <c r="CX5" i="24"/>
  <c r="CW5" i="24"/>
  <c r="CV5" i="24"/>
  <c r="CP5" i="24"/>
  <c r="BM5" i="24"/>
  <c r="BL5" i="24"/>
  <c r="BE5" i="24"/>
  <c r="BF5" i="24" s="1"/>
  <c r="AS5" i="24"/>
  <c r="ED5" i="24" s="1"/>
  <c r="AM5" i="24"/>
  <c r="AN5" i="24" s="1"/>
  <c r="DY5" i="24" s="1"/>
  <c r="AG5" i="24"/>
  <c r="DR5" i="24" s="1"/>
  <c r="Z5" i="24"/>
  <c r="DK5" i="24" s="1"/>
  <c r="N5" i="24"/>
  <c r="CY5" i="24" s="1"/>
  <c r="EQ4" i="24"/>
  <c r="EP4" i="24"/>
  <c r="EO4" i="24"/>
  <c r="EN4" i="24"/>
  <c r="EM4" i="24"/>
  <c r="EG4" i="24"/>
  <c r="EC4" i="24"/>
  <c r="EB4" i="24"/>
  <c r="EA4" i="24"/>
  <c r="DW4" i="24"/>
  <c r="DV4" i="24"/>
  <c r="DU4" i="24"/>
  <c r="DQ4" i="24"/>
  <c r="DP4" i="24"/>
  <c r="DO4" i="24"/>
  <c r="DJ4" i="24"/>
  <c r="DI4" i="24"/>
  <c r="DH4" i="24"/>
  <c r="DD4" i="24"/>
  <c r="DD10" i="24" s="1"/>
  <c r="DB4" i="24"/>
  <c r="CX4" i="24"/>
  <c r="CX10" i="24" s="1"/>
  <c r="CW4" i="24"/>
  <c r="CV4" i="24"/>
  <c r="CP4" i="24"/>
  <c r="BM4" i="24"/>
  <c r="BL4" i="24"/>
  <c r="BE4" i="24"/>
  <c r="BF4" i="24" s="1"/>
  <c r="AS4" i="24"/>
  <c r="ED4" i="24" s="1"/>
  <c r="AM4" i="24"/>
  <c r="AN4" i="24" s="1"/>
  <c r="DY4" i="24" s="1"/>
  <c r="AG4" i="24"/>
  <c r="DR4" i="24" s="1"/>
  <c r="Z4" i="24"/>
  <c r="AA4" i="24" s="1"/>
  <c r="T4" i="24"/>
  <c r="U4" i="24" s="1"/>
  <c r="DF4" i="24" s="1"/>
  <c r="N4" i="24"/>
  <c r="CY4" i="24" s="1"/>
  <c r="CQ4" i="24"/>
  <c r="AN7" i="24" l="1"/>
  <c r="DY7" i="24" s="1"/>
  <c r="AK38" i="24"/>
  <c r="DP10" i="24"/>
  <c r="DW13" i="24"/>
  <c r="AN6" i="24"/>
  <c r="DY6" i="24" s="1"/>
  <c r="DP13" i="24"/>
  <c r="AM37" i="24"/>
  <c r="AM44" i="24" s="1"/>
  <c r="DW35" i="24"/>
  <c r="DX35" i="24" s="1"/>
  <c r="DY35" i="24" s="1"/>
  <c r="AL38" i="24"/>
  <c r="AL45" i="24" s="1"/>
  <c r="CW35" i="24"/>
  <c r="EB35" i="24"/>
  <c r="ED35" i="24" s="1"/>
  <c r="EE35" i="24" s="1"/>
  <c r="O6" i="24"/>
  <c r="CZ6" i="24" s="1"/>
  <c r="EB13" i="24"/>
  <c r="DP35" i="24"/>
  <c r="DQ35" i="24"/>
  <c r="DX8" i="24"/>
  <c r="EB10" i="24"/>
  <c r="DW10" i="24"/>
  <c r="CW13" i="24"/>
  <c r="DV13" i="24"/>
  <c r="DX13" i="24" s="1"/>
  <c r="DY13" i="24" s="1"/>
  <c r="DV32" i="24"/>
  <c r="DX32" i="24" s="1"/>
  <c r="DY32" i="24" s="1"/>
  <c r="CW32" i="24"/>
  <c r="DV10" i="24"/>
  <c r="AN10" i="24"/>
  <c r="DY11" i="24" s="1"/>
  <c r="AQ38" i="24"/>
  <c r="AQ45" i="24" s="1"/>
  <c r="EB32" i="24"/>
  <c r="DP32" i="24"/>
  <c r="DR32" i="24" s="1"/>
  <c r="DS32" i="24" s="1"/>
  <c r="CW10" i="24"/>
  <c r="CY10" i="24" s="1"/>
  <c r="CZ10" i="24" s="1"/>
  <c r="BE37" i="24"/>
  <c r="BE44" i="24" s="1"/>
  <c r="BE29" i="24"/>
  <c r="BE43" i="24" s="1"/>
  <c r="BC38" i="24"/>
  <c r="BC45" i="24" s="1"/>
  <c r="AS29" i="24"/>
  <c r="AS43" i="24" s="1"/>
  <c r="AT4" i="24"/>
  <c r="EE4" i="24" s="1"/>
  <c r="AQ42" i="24"/>
  <c r="AN31" i="24"/>
  <c r="DY31" i="24" s="1"/>
  <c r="AN30" i="24"/>
  <c r="DY30" i="24" s="1"/>
  <c r="AN34" i="24"/>
  <c r="DY34" i="24" s="1"/>
  <c r="AN33" i="24"/>
  <c r="DY33" i="24" s="1"/>
  <c r="AK44" i="24"/>
  <c r="AM29" i="24"/>
  <c r="AM43" i="24" s="1"/>
  <c r="AK45" i="24"/>
  <c r="DX9" i="24"/>
  <c r="AM21" i="24"/>
  <c r="AM42" i="24" s="1"/>
  <c r="DX5" i="24"/>
  <c r="DX4" i="24"/>
  <c r="AK42" i="24"/>
  <c r="AL42" i="24"/>
  <c r="DR35" i="24"/>
  <c r="DS35" i="24" s="1"/>
  <c r="AE38" i="24"/>
  <c r="AE45" i="24" s="1"/>
  <c r="AH5" i="24"/>
  <c r="DS5" i="24" s="1"/>
  <c r="AE42" i="24"/>
  <c r="N37" i="24"/>
  <c r="N44" i="24" s="1"/>
  <c r="L38" i="24"/>
  <c r="L45" i="24" s="1"/>
  <c r="N29" i="24"/>
  <c r="N43" i="24" s="1"/>
  <c r="L42" i="24"/>
  <c r="BD44" i="24"/>
  <c r="BD38" i="24"/>
  <c r="BD45" i="24" s="1"/>
  <c r="BD43" i="24"/>
  <c r="BE21" i="24"/>
  <c r="BE42" i="24" s="1"/>
  <c r="ED34" i="24"/>
  <c r="EC32" i="24"/>
  <c r="ED30" i="24"/>
  <c r="AS37" i="24"/>
  <c r="AS44" i="24" s="1"/>
  <c r="AT33" i="24"/>
  <c r="EE33" i="24" s="1"/>
  <c r="ED31" i="24"/>
  <c r="AR38" i="24"/>
  <c r="AS38" i="24" s="1"/>
  <c r="AS45" i="24" s="1"/>
  <c r="AR43" i="24"/>
  <c r="EC13" i="24"/>
  <c r="ED13" i="24" s="1"/>
  <c r="EE13" i="24" s="1"/>
  <c r="ED12" i="24"/>
  <c r="AT8" i="24"/>
  <c r="EE8" i="24" s="1"/>
  <c r="ED11" i="24"/>
  <c r="EC10" i="24"/>
  <c r="ED10" i="24" s="1"/>
  <c r="EE10" i="24" s="1"/>
  <c r="AS21" i="24"/>
  <c r="AS42" i="24" s="1"/>
  <c r="AR42" i="24"/>
  <c r="AT9" i="24"/>
  <c r="EE9" i="24" s="1"/>
  <c r="AT5" i="24"/>
  <c r="EE5" i="24" s="1"/>
  <c r="AT6" i="24"/>
  <c r="EE6" i="24" s="1"/>
  <c r="AT7" i="24"/>
  <c r="EE7" i="24" s="1"/>
  <c r="DR31" i="24"/>
  <c r="DR33" i="24"/>
  <c r="AG37" i="24"/>
  <c r="AG44" i="24" s="1"/>
  <c r="AH30" i="24"/>
  <c r="DS30" i="24" s="1"/>
  <c r="DR34" i="24"/>
  <c r="AG29" i="24"/>
  <c r="AG43" i="24" s="1"/>
  <c r="AF38" i="24"/>
  <c r="AF45" i="24" s="1"/>
  <c r="DR12" i="24"/>
  <c r="DQ10" i="24"/>
  <c r="DR10" i="24" s="1"/>
  <c r="DS10" i="24" s="1"/>
  <c r="AH7" i="24"/>
  <c r="DS7" i="24" s="1"/>
  <c r="AH4" i="24"/>
  <c r="DS4" i="24" s="1"/>
  <c r="AH10" i="24"/>
  <c r="DS11" i="24" s="1"/>
  <c r="DQ13" i="24"/>
  <c r="DR13" i="24" s="1"/>
  <c r="AF42" i="24"/>
  <c r="AH8" i="24"/>
  <c r="DS8" i="24" s="1"/>
  <c r="AG21" i="24"/>
  <c r="AG42" i="24" s="1"/>
  <c r="AH6" i="24"/>
  <c r="DS6" i="24" s="1"/>
  <c r="DO13" i="24"/>
  <c r="DR9" i="24"/>
  <c r="CY34" i="24"/>
  <c r="CX35" i="24"/>
  <c r="O31" i="24"/>
  <c r="CZ31" i="24" s="1"/>
  <c r="CY33" i="24"/>
  <c r="CX32" i="24"/>
  <c r="CY30" i="24"/>
  <c r="M44" i="24"/>
  <c r="M43" i="24"/>
  <c r="M38" i="24"/>
  <c r="N38" i="24" s="1"/>
  <c r="N45" i="24" s="1"/>
  <c r="O7" i="24"/>
  <c r="CZ7" i="24" s="1"/>
  <c r="O9" i="24"/>
  <c r="CZ9" i="24" s="1"/>
  <c r="CX13" i="24"/>
  <c r="N21" i="24"/>
  <c r="N42" i="24" s="1"/>
  <c r="CY11" i="24"/>
  <c r="M42" i="24"/>
  <c r="CY8" i="24"/>
  <c r="O5" i="24"/>
  <c r="CZ5" i="24" s="1"/>
  <c r="O4" i="24"/>
  <c r="CZ4" i="24" s="1"/>
  <c r="CY12" i="24"/>
  <c r="S38" i="24"/>
  <c r="S45" i="24" s="1"/>
  <c r="S42" i="24"/>
  <c r="AY7" i="24"/>
  <c r="EJ7" i="24" s="1"/>
  <c r="P35" i="33"/>
  <c r="H13" i="24"/>
  <c r="I13" i="24" s="1"/>
  <c r="T10" i="24"/>
  <c r="U10" i="24" s="1"/>
  <c r="DF11" i="24" s="1"/>
  <c r="AY6" i="24"/>
  <c r="AZ6" i="24" s="1"/>
  <c r="EK6" i="24" s="1"/>
  <c r="P25" i="33"/>
  <c r="AY17" i="24"/>
  <c r="AZ17" i="24" s="1"/>
  <c r="AY31" i="24"/>
  <c r="EJ31" i="24" s="1"/>
  <c r="P9" i="33"/>
  <c r="G12" i="33"/>
  <c r="H12" i="33" s="1"/>
  <c r="P15" i="33"/>
  <c r="P18" i="33"/>
  <c r="G32" i="33"/>
  <c r="H32" i="33" s="1"/>
  <c r="DC9" i="24"/>
  <c r="G9" i="33"/>
  <c r="H9" i="33" s="1"/>
  <c r="AY16" i="24"/>
  <c r="AZ16" i="24" s="1"/>
  <c r="G15" i="33"/>
  <c r="H15" i="33" s="1"/>
  <c r="F29" i="24"/>
  <c r="F43" i="24" s="1"/>
  <c r="G6" i="33"/>
  <c r="H6" i="33" s="1"/>
  <c r="AY12" i="24"/>
  <c r="AZ12" i="24" s="1"/>
  <c r="AY19" i="24"/>
  <c r="AZ19" i="24" s="1"/>
  <c r="P12" i="33"/>
  <c r="P32" i="33"/>
  <c r="DD32" i="24"/>
  <c r="AY5" i="24"/>
  <c r="EJ5" i="24" s="1"/>
  <c r="DJ32" i="24"/>
  <c r="CQ31" i="24"/>
  <c r="CQ32" i="24" s="1"/>
  <c r="AY33" i="24"/>
  <c r="AZ33" i="24" s="1"/>
  <c r="EK33" i="24" s="1"/>
  <c r="AW29" i="24"/>
  <c r="AW43" i="24" s="1"/>
  <c r="H14" i="24"/>
  <c r="I14" i="24" s="1"/>
  <c r="H27" i="24"/>
  <c r="I27" i="24" s="1"/>
  <c r="DC5" i="24"/>
  <c r="EH31" i="24"/>
  <c r="H6" i="24"/>
  <c r="I6" i="24" s="1"/>
  <c r="CT6" i="24" s="1"/>
  <c r="DJ35" i="24"/>
  <c r="P10" i="33"/>
  <c r="P19" i="33"/>
  <c r="L28" i="33"/>
  <c r="G33" i="33"/>
  <c r="H33" i="33" s="1"/>
  <c r="DI13" i="24"/>
  <c r="DH13" i="24" s="1"/>
  <c r="DK13" i="24" s="1"/>
  <c r="X29" i="24"/>
  <c r="X43" i="24" s="1"/>
  <c r="Z6" i="24"/>
  <c r="DK6" i="24" s="1"/>
  <c r="AY35" i="24"/>
  <c r="AZ35" i="24" s="1"/>
  <c r="AY27" i="24"/>
  <c r="AZ27" i="24" s="1"/>
  <c r="H23" i="24"/>
  <c r="I23" i="24" s="1"/>
  <c r="H36" i="24"/>
  <c r="I36" i="24" s="1"/>
  <c r="R21" i="24"/>
  <c r="T21" i="24" s="1"/>
  <c r="T42" i="24" s="1"/>
  <c r="Z10" i="24"/>
  <c r="DK11" i="24" s="1"/>
  <c r="L20" i="33"/>
  <c r="P6" i="33"/>
  <c r="DI33" i="24"/>
  <c r="DI35" i="24" s="1"/>
  <c r="G3" i="33"/>
  <c r="H3" i="33" s="1"/>
  <c r="H15" i="24"/>
  <c r="I15" i="24" s="1"/>
  <c r="H28" i="24"/>
  <c r="I28" i="24" s="1"/>
  <c r="AA34" i="24"/>
  <c r="DL34" i="24" s="1"/>
  <c r="G37" i="24"/>
  <c r="G44" i="24" s="1"/>
  <c r="AY28" i="24"/>
  <c r="AZ28" i="24" s="1"/>
  <c r="CP13" i="24"/>
  <c r="H33" i="24"/>
  <c r="I33" i="24" s="1"/>
  <c r="CT33" i="24" s="1"/>
  <c r="AY8" i="24"/>
  <c r="EJ8" i="24" s="1"/>
  <c r="AY14" i="24"/>
  <c r="AZ14" i="24" s="1"/>
  <c r="P5" i="33"/>
  <c r="P17" i="33"/>
  <c r="H20" i="24"/>
  <c r="I20" i="24" s="1"/>
  <c r="G5" i="33"/>
  <c r="H5" i="33" s="1"/>
  <c r="H32" i="24"/>
  <c r="I32" i="24" s="1"/>
  <c r="P21" i="33"/>
  <c r="H8" i="24"/>
  <c r="I8" i="24" s="1"/>
  <c r="CT8" i="24" s="1"/>
  <c r="CR34" i="24"/>
  <c r="H34" i="24"/>
  <c r="CS34" i="24" s="1"/>
  <c r="N36" i="33"/>
  <c r="R37" i="24"/>
  <c r="T37" i="24" s="1"/>
  <c r="T44" i="24" s="1"/>
  <c r="P22" i="33"/>
  <c r="P4" i="33"/>
  <c r="AY4" i="24"/>
  <c r="EJ4" i="24" s="1"/>
  <c r="H9" i="24"/>
  <c r="CS9" i="24" s="1"/>
  <c r="AX37" i="24"/>
  <c r="AX44" i="24" s="1"/>
  <c r="CQ34" i="24"/>
  <c r="CQ35" i="24" s="1"/>
  <c r="AY10" i="24"/>
  <c r="AZ10" i="24" s="1"/>
  <c r="EK11" i="24" s="1"/>
  <c r="T35" i="24"/>
  <c r="U35" i="24" s="1"/>
  <c r="DC6" i="24"/>
  <c r="CR31" i="24"/>
  <c r="DC31" i="24"/>
  <c r="DC32" i="24" s="1"/>
  <c r="AY25" i="24"/>
  <c r="AZ25" i="24" s="1"/>
  <c r="EI35" i="24"/>
  <c r="P26" i="33"/>
  <c r="L36" i="33"/>
  <c r="EI7" i="24"/>
  <c r="EI10" i="24" s="1"/>
  <c r="F37" i="24"/>
  <c r="EH35" i="24"/>
  <c r="P3" i="33"/>
  <c r="P23" i="33"/>
  <c r="G21" i="24"/>
  <c r="G42" i="24" s="1"/>
  <c r="P31" i="33"/>
  <c r="N28" i="33"/>
  <c r="DC35" i="24"/>
  <c r="DE35" i="24" s="1"/>
  <c r="DF35" i="24" s="1"/>
  <c r="Z11" i="24"/>
  <c r="AA11" i="24" s="1"/>
  <c r="DL12" i="24" s="1"/>
  <c r="Z23" i="24"/>
  <c r="AA23" i="24" s="1"/>
  <c r="AB23" i="24" s="1"/>
  <c r="EI32" i="24"/>
  <c r="S36" i="33"/>
  <c r="S28" i="33"/>
  <c r="N20" i="33"/>
  <c r="U31" i="24"/>
  <c r="DF31" i="24" s="1"/>
  <c r="S20" i="33"/>
  <c r="G7" i="33"/>
  <c r="H7" i="33" s="1"/>
  <c r="G13" i="33"/>
  <c r="H13" i="33" s="1"/>
  <c r="G8" i="33"/>
  <c r="H8" i="33" s="1"/>
  <c r="G14" i="33"/>
  <c r="H14" i="33" s="1"/>
  <c r="G19" i="33"/>
  <c r="H19" i="33" s="1"/>
  <c r="G26" i="33"/>
  <c r="H26" i="33" s="1"/>
  <c r="G4" i="33"/>
  <c r="H4" i="33" s="1"/>
  <c r="G10" i="33"/>
  <c r="H10" i="33" s="1"/>
  <c r="E36" i="33"/>
  <c r="F36" i="33"/>
  <c r="G22" i="33"/>
  <c r="H22" i="33" s="1"/>
  <c r="G29" i="33"/>
  <c r="H29" i="33" s="1"/>
  <c r="CQ10" i="24"/>
  <c r="AB16" i="24"/>
  <c r="DE30" i="24"/>
  <c r="CQ13" i="24"/>
  <c r="CR13" i="24"/>
  <c r="AB15" i="24"/>
  <c r="AB17" i="24"/>
  <c r="AB32" i="24"/>
  <c r="I7" i="24"/>
  <c r="CT7" i="24" s="1"/>
  <c r="CS7" i="24"/>
  <c r="U34" i="24"/>
  <c r="DF34" i="24" s="1"/>
  <c r="DE34" i="24"/>
  <c r="AB36" i="24"/>
  <c r="DI10" i="24"/>
  <c r="DH10" i="24" s="1"/>
  <c r="DK10" i="24" s="1"/>
  <c r="AB22" i="24"/>
  <c r="BP22" i="24" s="1"/>
  <c r="X21" i="24"/>
  <c r="X42" i="24" s="1"/>
  <c r="AB25" i="24"/>
  <c r="CR30" i="24"/>
  <c r="T7" i="24"/>
  <c r="H5" i="24"/>
  <c r="CS5" i="24" s="1"/>
  <c r="T8" i="24"/>
  <c r="U8" i="24" s="1"/>
  <c r="DF8" i="24" s="1"/>
  <c r="H10" i="24"/>
  <c r="T11" i="24"/>
  <c r="DE12" i="24" s="1"/>
  <c r="CR33" i="24"/>
  <c r="H4" i="24"/>
  <c r="AB28" i="24"/>
  <c r="AY15" i="24"/>
  <c r="AZ15" i="24" s="1"/>
  <c r="AB24" i="24"/>
  <c r="G29" i="24"/>
  <c r="G43" i="24" s="1"/>
  <c r="AY11" i="24"/>
  <c r="EJ12" i="24" s="1"/>
  <c r="AX29" i="24"/>
  <c r="AX43" i="24" s="1"/>
  <c r="AY30" i="24"/>
  <c r="EJ30" i="24" s="1"/>
  <c r="F21" i="24"/>
  <c r="CR6" i="24"/>
  <c r="CR7" i="24"/>
  <c r="AB27" i="24"/>
  <c r="H30" i="24"/>
  <c r="AY32" i="24"/>
  <c r="AZ32" i="24" s="1"/>
  <c r="DI31" i="24"/>
  <c r="DI32" i="24" s="1"/>
  <c r="AY34" i="24"/>
  <c r="AZ34" i="24" s="1"/>
  <c r="EK34" i="24" s="1"/>
  <c r="AB19" i="24"/>
  <c r="R29" i="24"/>
  <c r="DC13" i="24"/>
  <c r="DE13" i="24" s="1"/>
  <c r="DF13" i="24" s="1"/>
  <c r="DM13" i="24" s="1"/>
  <c r="AY9" i="24"/>
  <c r="EJ9" i="24" s="1"/>
  <c r="AB20" i="24"/>
  <c r="T33" i="24"/>
  <c r="EH13" i="24"/>
  <c r="AY36" i="24"/>
  <c r="AZ36" i="24" s="1"/>
  <c r="EH30" i="24"/>
  <c r="AW37" i="24"/>
  <c r="EH9" i="24"/>
  <c r="EH10" i="24" s="1"/>
  <c r="AZ4" i="24"/>
  <c r="EK4" i="24" s="1"/>
  <c r="AX21" i="24"/>
  <c r="AX42" i="24" s="1"/>
  <c r="AY24" i="24"/>
  <c r="AZ24" i="24" s="1"/>
  <c r="EI12" i="24"/>
  <c r="EI13" i="24" s="1"/>
  <c r="EJ33" i="24"/>
  <c r="BP26" i="24"/>
  <c r="Q67" i="26" s="1"/>
  <c r="J13" i="26" s="1"/>
  <c r="AW21" i="24"/>
  <c r="AW42" i="24" s="1"/>
  <c r="AA31" i="24"/>
  <c r="DL31" i="24" s="1"/>
  <c r="DK31" i="24"/>
  <c r="DL35" i="24"/>
  <c r="AA35" i="24"/>
  <c r="AB18" i="24"/>
  <c r="BP18" i="24" s="1"/>
  <c r="K69" i="26" s="1"/>
  <c r="Z30" i="24"/>
  <c r="X37" i="24"/>
  <c r="DF30" i="24"/>
  <c r="DL4" i="24"/>
  <c r="AB4" i="24"/>
  <c r="DM4" i="24" s="1"/>
  <c r="AB12" i="24"/>
  <c r="AB14" i="24"/>
  <c r="DE4" i="24"/>
  <c r="I11" i="24"/>
  <c r="CT12" i="24" s="1"/>
  <c r="AA7" i="24"/>
  <c r="AA13" i="24"/>
  <c r="AB13" i="24" s="1"/>
  <c r="AA33" i="24"/>
  <c r="DE5" i="24"/>
  <c r="DE9" i="24"/>
  <c r="DL32" i="24"/>
  <c r="DK4" i="24"/>
  <c r="AA8" i="24"/>
  <c r="I31" i="24"/>
  <c r="CT31" i="24" s="1"/>
  <c r="DE6" i="24"/>
  <c r="AA5" i="24"/>
  <c r="AA9" i="24"/>
  <c r="CY32" i="24" l="1"/>
  <c r="CZ32" i="24" s="1"/>
  <c r="CY35" i="24"/>
  <c r="CZ35" i="24" s="1"/>
  <c r="AM38" i="24"/>
  <c r="AM45" i="24" s="1"/>
  <c r="DE11" i="24"/>
  <c r="EJ6" i="24"/>
  <c r="AZ7" i="24"/>
  <c r="EK7" i="24" s="1"/>
  <c r="AZ5" i="24"/>
  <c r="EK5" i="24" s="1"/>
  <c r="CY13" i="24"/>
  <c r="CZ13" i="24" s="1"/>
  <c r="ED32" i="24"/>
  <c r="EE32" i="24" s="1"/>
  <c r="DX10" i="24"/>
  <c r="DY10" i="24" s="1"/>
  <c r="BP13" i="24"/>
  <c r="BQ13" i="24" s="1"/>
  <c r="P28" i="33"/>
  <c r="AZ31" i="24"/>
  <c r="CS8" i="24"/>
  <c r="BP12" i="24"/>
  <c r="K63" i="26" s="1"/>
  <c r="Q45" i="26" s="1"/>
  <c r="BP20" i="24"/>
  <c r="K72" i="26" s="1"/>
  <c r="L39" i="26" s="1"/>
  <c r="AR45" i="24"/>
  <c r="AG38" i="24"/>
  <c r="AG45" i="24" s="1"/>
  <c r="DS13" i="24"/>
  <c r="M45" i="24"/>
  <c r="AA6" i="24"/>
  <c r="DL6" i="24" s="1"/>
  <c r="BP17" i="24"/>
  <c r="K68" i="26" s="1"/>
  <c r="DH32" i="24"/>
  <c r="DK32" i="24" s="1"/>
  <c r="AB35" i="24"/>
  <c r="BP35" i="24" s="1"/>
  <c r="BQ35" i="24" s="1"/>
  <c r="DE32" i="24"/>
  <c r="DF32" i="24" s="1"/>
  <c r="AZ8" i="24"/>
  <c r="EK8" i="24" s="1"/>
  <c r="R44" i="24"/>
  <c r="CS33" i="24"/>
  <c r="DC10" i="24"/>
  <c r="DE10" i="24" s="1"/>
  <c r="DF10" i="24" s="1"/>
  <c r="R38" i="24"/>
  <c r="R42" i="24"/>
  <c r="X38" i="24"/>
  <c r="Z38" i="24" s="1"/>
  <c r="Z45" i="24" s="1"/>
  <c r="DL10" i="24"/>
  <c r="AA10" i="24"/>
  <c r="DL11" i="24" s="1"/>
  <c r="BP19" i="24"/>
  <c r="BQ19" i="24" s="1"/>
  <c r="DM35" i="24"/>
  <c r="H37" i="24"/>
  <c r="H44" i="24" s="1"/>
  <c r="CR35" i="24"/>
  <c r="CS35" i="24" s="1"/>
  <c r="CT35" i="24" s="1"/>
  <c r="DH35" i="24"/>
  <c r="DK35" i="24" s="1"/>
  <c r="P36" i="33"/>
  <c r="BP16" i="24"/>
  <c r="BQ16" i="24" s="1"/>
  <c r="Z29" i="24"/>
  <c r="Z43" i="24" s="1"/>
  <c r="BP14" i="24"/>
  <c r="BQ14" i="24" s="1"/>
  <c r="BP27" i="24"/>
  <c r="BQ27" i="24" s="1"/>
  <c r="P20" i="33"/>
  <c r="CS6" i="24"/>
  <c r="EJ35" i="24"/>
  <c r="EK35" i="24" s="1"/>
  <c r="BP23" i="24"/>
  <c r="Q64" i="26" s="1"/>
  <c r="H29" i="26" s="1"/>
  <c r="EH32" i="24"/>
  <c r="EJ32" i="24" s="1"/>
  <c r="EK32" i="24" s="1"/>
  <c r="AY37" i="24"/>
  <c r="AY44" i="24" s="1"/>
  <c r="BP28" i="24"/>
  <c r="Q69" i="26" s="1"/>
  <c r="I24" i="26" s="1"/>
  <c r="CR32" i="24"/>
  <c r="CS32" i="24" s="1"/>
  <c r="CT32" i="24" s="1"/>
  <c r="H21" i="24"/>
  <c r="H42" i="24" s="1"/>
  <c r="I34" i="24"/>
  <c r="CT34" i="24" s="1"/>
  <c r="BP25" i="24"/>
  <c r="Q66" i="26" s="1"/>
  <c r="J29" i="26" s="1"/>
  <c r="I9" i="24"/>
  <c r="CT9" i="24" s="1"/>
  <c r="EJ11" i="24"/>
  <c r="L37" i="33"/>
  <c r="U11" i="24"/>
  <c r="DF12" i="24" s="1"/>
  <c r="AX38" i="24"/>
  <c r="AX45" i="24" s="1"/>
  <c r="AZ30" i="24"/>
  <c r="EK30" i="24" s="1"/>
  <c r="F38" i="24"/>
  <c r="F45" i="24" s="1"/>
  <c r="F44" i="24"/>
  <c r="F42" i="24"/>
  <c r="DM32" i="24"/>
  <c r="AY29" i="24"/>
  <c r="AY43" i="24" s="1"/>
  <c r="DK12" i="24"/>
  <c r="DE8" i="24"/>
  <c r="EJ10" i="24"/>
  <c r="EK10" i="24" s="1"/>
  <c r="N37" i="33"/>
  <c r="BP15" i="24"/>
  <c r="K66" i="26" s="1"/>
  <c r="J40" i="26" s="1"/>
  <c r="AW44" i="24"/>
  <c r="BP36" i="24"/>
  <c r="BQ36" i="24" s="1"/>
  <c r="S37" i="33"/>
  <c r="CR10" i="24"/>
  <c r="CS10" i="24" s="1"/>
  <c r="CT10" i="24" s="1"/>
  <c r="G36" i="33"/>
  <c r="AZ11" i="24"/>
  <c r="EK12" i="24" s="1"/>
  <c r="G28" i="33"/>
  <c r="E37" i="33"/>
  <c r="F37" i="33"/>
  <c r="G20" i="33"/>
  <c r="Z21" i="24"/>
  <c r="Z42" i="24" s="1"/>
  <c r="CS13" i="24"/>
  <c r="CT13" i="24" s="1"/>
  <c r="AZ9" i="24"/>
  <c r="EK9" i="24" s="1"/>
  <c r="BP24" i="24"/>
  <c r="BQ24" i="24" s="1"/>
  <c r="AB34" i="24"/>
  <c r="BP32" i="24"/>
  <c r="BQ32" i="24" s="1"/>
  <c r="CS30" i="24"/>
  <c r="I30" i="24"/>
  <c r="CT30" i="24" s="1"/>
  <c r="I4" i="24"/>
  <c r="CT4" i="24" s="1"/>
  <c r="CS4" i="24"/>
  <c r="DE7" i="24"/>
  <c r="U7" i="24"/>
  <c r="DF7" i="24" s="1"/>
  <c r="AB31" i="24"/>
  <c r="DM31" i="24" s="1"/>
  <c r="DE33" i="24"/>
  <c r="U33" i="24"/>
  <c r="DF33" i="24" s="1"/>
  <c r="I5" i="24"/>
  <c r="CT5" i="24" s="1"/>
  <c r="EJ13" i="24"/>
  <c r="EK13" i="24" s="1"/>
  <c r="EJ34" i="24"/>
  <c r="BQ26" i="24"/>
  <c r="I10" i="24"/>
  <c r="CT11" i="24" s="1"/>
  <c r="CS11" i="24"/>
  <c r="H29" i="24"/>
  <c r="H43" i="24" s="1"/>
  <c r="T29" i="24"/>
  <c r="T43" i="24" s="1"/>
  <c r="R43" i="24"/>
  <c r="G38" i="24"/>
  <c r="AY21" i="24"/>
  <c r="AY42" i="24" s="1"/>
  <c r="AW38" i="24"/>
  <c r="AW45" i="24" s="1"/>
  <c r="BQ18" i="24"/>
  <c r="X44" i="24"/>
  <c r="Z37" i="24"/>
  <c r="Z44" i="24" s="1"/>
  <c r="DK30" i="24"/>
  <c r="AA30" i="24"/>
  <c r="K64" i="26"/>
  <c r="M47" i="26" s="1"/>
  <c r="DL8" i="24"/>
  <c r="AB8" i="24"/>
  <c r="Q63" i="26"/>
  <c r="H13" i="26" s="1"/>
  <c r="BQ22" i="24"/>
  <c r="EK31" i="24"/>
  <c r="DL9" i="24"/>
  <c r="AB9" i="24"/>
  <c r="DL33" i="24"/>
  <c r="DL5" i="24"/>
  <c r="AB5" i="24"/>
  <c r="R45" i="24"/>
  <c r="T38" i="24"/>
  <c r="T45" i="24" s="1"/>
  <c r="DL7" i="24"/>
  <c r="X45" i="24" l="1"/>
  <c r="W70" i="26"/>
  <c r="V28" i="26" s="1"/>
  <c r="BQ12" i="24"/>
  <c r="BQ20" i="24"/>
  <c r="AB6" i="24"/>
  <c r="BP6" i="24" s="1"/>
  <c r="BQ6" i="24" s="1"/>
  <c r="BQ17" i="24"/>
  <c r="Q68" i="26"/>
  <c r="J33" i="26" s="1"/>
  <c r="K71" i="26"/>
  <c r="O55" i="26" s="1"/>
  <c r="DM10" i="24"/>
  <c r="ER10" i="24" s="1"/>
  <c r="K59" i="26" s="1"/>
  <c r="N30" i="26" s="1"/>
  <c r="K67" i="26"/>
  <c r="K70" i="26" s="1"/>
  <c r="O41" i="26" s="1"/>
  <c r="BQ23" i="24"/>
  <c r="AB10" i="24"/>
  <c r="DM11" i="24" s="1"/>
  <c r="K65" i="26"/>
  <c r="T45" i="26" s="1"/>
  <c r="ER35" i="24"/>
  <c r="W69" i="26" s="1"/>
  <c r="BQ28" i="24"/>
  <c r="AB11" i="24"/>
  <c r="ER32" i="24"/>
  <c r="W65" i="26" s="1"/>
  <c r="BQ25" i="24"/>
  <c r="P37" i="33"/>
  <c r="Q65" i="26"/>
  <c r="K19" i="26" s="1"/>
  <c r="W71" i="26"/>
  <c r="M24" i="26" s="1"/>
  <c r="BQ15" i="24"/>
  <c r="ER31" i="24"/>
  <c r="BP31" i="24"/>
  <c r="BQ31" i="24" s="1"/>
  <c r="ER13" i="24"/>
  <c r="K62" i="26" s="1"/>
  <c r="M34" i="26" s="1"/>
  <c r="AY38" i="24"/>
  <c r="AY45" i="24" s="1"/>
  <c r="W66" i="26"/>
  <c r="P16" i="26" s="1"/>
  <c r="AB7" i="24"/>
  <c r="DM7" i="24" s="1"/>
  <c r="BP11" i="24"/>
  <c r="K61" i="26" s="1"/>
  <c r="BP4" i="24"/>
  <c r="BQ4" i="24" s="1"/>
  <c r="G37" i="33"/>
  <c r="DM34" i="24"/>
  <c r="ER34" i="24" s="1"/>
  <c r="BP34" i="24"/>
  <c r="DM6" i="24"/>
  <c r="G45" i="24"/>
  <c r="H38" i="24"/>
  <c r="H45" i="24" s="1"/>
  <c r="AB33" i="24"/>
  <c r="BP33" i="24" s="1"/>
  <c r="DL30" i="24"/>
  <c r="AB30" i="24"/>
  <c r="DM8" i="24"/>
  <c r="BP8" i="24"/>
  <c r="DM9" i="24"/>
  <c r="BP9" i="24"/>
  <c r="DM5" i="24"/>
  <c r="BP5" i="24"/>
  <c r="K55" i="26" l="1"/>
  <c r="DM12" i="24"/>
  <c r="BP10" i="24"/>
  <c r="K60" i="26" s="1"/>
  <c r="W64" i="26"/>
  <c r="S34" i="26" s="1"/>
  <c r="BP7" i="24"/>
  <c r="K56" i="26" s="1"/>
  <c r="BQ11" i="24"/>
  <c r="DM33" i="24"/>
  <c r="ER33" i="24" s="1"/>
  <c r="K53" i="26"/>
  <c r="W68" i="26"/>
  <c r="O20" i="26" s="1"/>
  <c r="BQ34" i="24"/>
  <c r="DM30" i="24"/>
  <c r="ER30" i="24" s="1"/>
  <c r="BP30" i="24"/>
  <c r="K54" i="26"/>
  <c r="BQ5" i="24"/>
  <c r="K58" i="26"/>
  <c r="BQ9" i="24"/>
  <c r="BQ33" i="24"/>
  <c r="W67" i="26"/>
  <c r="N17" i="26" s="1"/>
  <c r="BQ8" i="24"/>
  <c r="K57" i="26"/>
  <c r="BQ10" i="24" l="1"/>
  <c r="BQ7" i="24"/>
  <c r="BQ30" i="24"/>
  <c r="W63" i="26"/>
  <c r="Q31" i="2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 Soledad Retamal Y. (DSS)</author>
  </authors>
  <commentList>
    <comment ref="G12" authorId="0" shapeId="0" xr:uid="{E42B1F9F-7362-41F0-AB3D-4467DC73C34E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3" authorId="0" shapeId="0" xr:uid="{8CE6109E-B9A5-4700-AA54-6AE3254CA2F1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<sst xmlns="http://schemas.openxmlformats.org/spreadsheetml/2006/main" count="950" uniqueCount="312">
  <si>
    <t>COMUNA</t>
  </si>
  <si>
    <t>BULNES</t>
  </si>
  <si>
    <t>COBQUECURA</t>
  </si>
  <si>
    <t>COELEMU</t>
  </si>
  <si>
    <t>COIHUECO</t>
  </si>
  <si>
    <t>CHILLAN</t>
  </si>
  <si>
    <t>CESFAM ULTRAESTACION</t>
  </si>
  <si>
    <t>CESFAM ISABEL RIQUELME</t>
  </si>
  <si>
    <t>CESFAM LOS VOLCANES</t>
  </si>
  <si>
    <t>CHILLAN VIEJO</t>
  </si>
  <si>
    <t>EL CARMEN</t>
  </si>
  <si>
    <t>NINHUE</t>
  </si>
  <si>
    <t>ÑIQUEN</t>
  </si>
  <si>
    <t>PEMUCO</t>
  </si>
  <si>
    <t>PINTO</t>
  </si>
  <si>
    <t>PORTEZUELO</t>
  </si>
  <si>
    <t>QUILLON</t>
  </si>
  <si>
    <t>QUIRIHUE</t>
  </si>
  <si>
    <t>RANQUIL</t>
  </si>
  <si>
    <t>SAN FABIAN</t>
  </si>
  <si>
    <t>SAN IGNACIO</t>
  </si>
  <si>
    <t>SAN NICOLAS</t>
  </si>
  <si>
    <t>TREHUACO</t>
  </si>
  <si>
    <t>YUNGAY</t>
  </si>
  <si>
    <t>CESFAM LUIS MONTECINOS</t>
  </si>
  <si>
    <t>CESFAM SOL DE ORIENTE</t>
  </si>
  <si>
    <t>CESFAM ÑIPAS</t>
  </si>
  <si>
    <t>NO</t>
  </si>
  <si>
    <t>CGR PUEBLO SECO</t>
  </si>
  <si>
    <t>CESFAM SANTA CLARA</t>
  </si>
  <si>
    <t>CESFAM COBQUECURA</t>
  </si>
  <si>
    <t>CESFAM COIHUECO</t>
  </si>
  <si>
    <t>CESFAM SAN RAMON NONATO</t>
  </si>
  <si>
    <t>CESFAM NINHUE</t>
  </si>
  <si>
    <t>CESFAM PEMUCO</t>
  </si>
  <si>
    <t>CESFAM SAN NICOLAS</t>
  </si>
  <si>
    <t>CESFAM TREHUACO</t>
  </si>
  <si>
    <t>CESFAM CAMPANARIO</t>
  </si>
  <si>
    <t>Plan de participación social elaborado y funcionando participativamente</t>
  </si>
  <si>
    <t>aut</t>
  </si>
  <si>
    <t>CESFAM QUINCHAMALI</t>
  </si>
  <si>
    <t>CESFAM SAN GREGORIO</t>
  </si>
  <si>
    <t>CESFAM PINTO</t>
  </si>
  <si>
    <t>CESFAM PORTEZUELO</t>
  </si>
  <si>
    <t>CESFAM QUILLON</t>
  </si>
  <si>
    <t>CESFAM DR. JOSE DURAN TRUJILLO</t>
  </si>
  <si>
    <t>CESFAM TERESA BALDECCHI</t>
  </si>
  <si>
    <t>CESFAM SAN FABIAN</t>
  </si>
  <si>
    <t>CESFAM SAN IGNACIO</t>
  </si>
  <si>
    <t>CESFAM QUIRIQUINA</t>
  </si>
  <si>
    <t>CESFAM DR. FEDERICO PUGA B.</t>
  </si>
  <si>
    <t>CESFAM MICHELLE BACHELET</t>
  </si>
  <si>
    <t>DESAMU EL CARMEN</t>
  </si>
  <si>
    <t>DESAMU COELEMU</t>
  </si>
  <si>
    <t>DESAMU QUIRIHUE</t>
  </si>
  <si>
    <t>Logro</t>
  </si>
  <si>
    <t>Numerador</t>
  </si>
  <si>
    <t>Denominador</t>
  </si>
  <si>
    <t>META</t>
  </si>
  <si>
    <r>
      <t>META</t>
    </r>
    <r>
      <rPr>
        <sz val="8"/>
        <color theme="0"/>
        <rFont val="Calibri"/>
        <family val="2"/>
      </rPr>
      <t/>
    </r>
  </si>
  <si>
    <r>
      <t xml:space="preserve">Meta 7: </t>
    </r>
    <r>
      <rPr>
        <b/>
        <sz val="10"/>
        <color theme="1"/>
        <rFont val="Calibri"/>
        <family val="2"/>
      </rPr>
      <t xml:space="preserve">≥ </t>
    </r>
    <r>
      <rPr>
        <b/>
        <sz val="10"/>
        <color theme="1"/>
        <rFont val="Calibri"/>
        <family val="2"/>
        <scheme val="minor"/>
      </rPr>
      <t>80% de cumplimiento del Plan</t>
    </r>
  </si>
  <si>
    <t>Meta 6  ≥  60% de LME</t>
  </si>
  <si>
    <r>
      <t xml:space="preserve">Meta 4B </t>
    </r>
    <r>
      <rPr>
        <b/>
        <sz val="10"/>
        <color theme="1"/>
        <rFont val="Calibri"/>
        <family val="2"/>
      </rPr>
      <t>≥</t>
    </r>
    <r>
      <rPr>
        <b/>
        <sz val="10"/>
        <color theme="1"/>
        <rFont val="Calibri"/>
        <family val="2"/>
        <scheme val="minor"/>
      </rPr>
      <t xml:space="preserve"> 90%</t>
    </r>
  </si>
  <si>
    <t>Meta 2: 90%</t>
  </si>
  <si>
    <t>Meta 1 ≥ 90%</t>
  </si>
  <si>
    <t>Total</t>
  </si>
  <si>
    <t>Total general</t>
  </si>
  <si>
    <t>PUNILLA</t>
  </si>
  <si>
    <t>ITATA</t>
  </si>
  <si>
    <t>DIGUILLÍN</t>
  </si>
  <si>
    <t>Tramo</t>
  </si>
  <si>
    <t>N° TOTAL DE 
METAS NO COMPROMETIDAS</t>
  </si>
  <si>
    <t xml:space="preserve">Valor Proporc. </t>
  </si>
  <si>
    <t>Valor Proporc. 3B</t>
  </si>
  <si>
    <t>Valor Proporc. 3A</t>
  </si>
  <si>
    <t>Valor Proporc.</t>
  </si>
  <si>
    <t>PROVINCIA</t>
  </si>
  <si>
    <t>ESTABLECIMIENTO</t>
  </si>
  <si>
    <t>Valor Proporc.Odontológica</t>
  </si>
  <si>
    <t>SAN RAMON NONATO</t>
  </si>
  <si>
    <t>ULTRAESTACION</t>
  </si>
  <si>
    <t>ISABEL RIQUELME</t>
  </si>
  <si>
    <t>QUINCHAMALI</t>
  </si>
  <si>
    <t>LOS VOLCANES</t>
  </si>
  <si>
    <t>SOL DE ORIENTE</t>
  </si>
  <si>
    <t>FEDERICO PUGA</t>
  </si>
  <si>
    <t>MICHELLE BACHELET</t>
  </si>
  <si>
    <t>QUIRIQUINA</t>
  </si>
  <si>
    <t>PUEBLO SECO</t>
  </si>
  <si>
    <t>CAMPANARIO</t>
  </si>
  <si>
    <t>SANTA CLARA</t>
  </si>
  <si>
    <t>LUIS MONTECINOS</t>
  </si>
  <si>
    <t>ÑIQUÉN</t>
  </si>
  <si>
    <t>DURÁN TRUJILLO</t>
  </si>
  <si>
    <t>TERESA BALDECCHI</t>
  </si>
  <si>
    <t>SAN FABIÁN</t>
  </si>
  <si>
    <t>SAN NICOLÁS</t>
  </si>
  <si>
    <t>Meta</t>
  </si>
  <si>
    <t>SUMA % CUMPLIMIMIENTO DE METAS</t>
  </si>
  <si>
    <t>Meta 3A  ≥  35%</t>
  </si>
  <si>
    <t>Meta 5  ≥ 43%</t>
  </si>
  <si>
    <t xml:space="preserve">Meta 2: </t>
  </si>
  <si>
    <t>Porcentaje de niños y niñas que, al sexto mes de vida, cuentan con lactancia materna exclusiva.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</si>
  <si>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N° de Actividades Ejecutadas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</si>
  <si>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N° de Actividades Comprometidas</t>
    </r>
  </si>
  <si>
    <t xml:space="preserve">Meta 1: </t>
  </si>
  <si>
    <t xml:space="preserve">Meta 3A: </t>
  </si>
  <si>
    <t xml:space="preserve">Meta 3B: </t>
  </si>
  <si>
    <t xml:space="preserve">Meta 4A: </t>
  </si>
  <si>
    <t xml:space="preserve">Meta 4B: </t>
  </si>
  <si>
    <t xml:space="preserve">Meta 5: </t>
  </si>
  <si>
    <t xml:space="preserve">Meta 6: </t>
  </si>
  <si>
    <t xml:space="preserve">Meta 7: </t>
  </si>
  <si>
    <t>Niños y niñas de 6 años libres de caries</t>
  </si>
  <si>
    <t>Meta Nacional ≥ 60%</t>
  </si>
  <si>
    <t>Meta 3B  ≥  11%</t>
  </si>
  <si>
    <t>Meta 4A  ≥  28%</t>
  </si>
  <si>
    <t>-</t>
  </si>
  <si>
    <t>Rutas REM Ley 19.813 año 2021</t>
  </si>
  <si>
    <t>N°</t>
  </si>
  <si>
    <t>Indicador</t>
  </si>
  <si>
    <t>Fuente</t>
  </si>
  <si>
    <t>Celdas Numerador</t>
  </si>
  <si>
    <t>Celdas Denominador</t>
  </si>
  <si>
    <t>Porcentaje de niños y niñas de 12 a 23 meses con riesgo del desarrollo psicomotor recuperados</t>
  </si>
  <si>
    <t>REM A_03</t>
  </si>
  <si>
    <t>Reducir la brecha de cobertura de PAP vigente en mujeres de 25 a 64 años</t>
  </si>
  <si>
    <t>REM P_12
Cálculo Brecha</t>
  </si>
  <si>
    <t>B11+B12+B13+B14+B15+B16+B17+B18</t>
  </si>
  <si>
    <t>Cálculo Brecha</t>
  </si>
  <si>
    <t>3A</t>
  </si>
  <si>
    <t>Cobertura en control odontológico en población de 0 a 9 años</t>
  </si>
  <si>
    <r>
      <t xml:space="preserve">REM A_03
</t>
    </r>
    <r>
      <rPr>
        <b/>
        <sz val="10"/>
        <color rgb="FFFF0000"/>
        <rFont val="Calibri"/>
        <family val="2"/>
        <scheme val="minor"/>
      </rPr>
      <t>(*) Programa Odontológico</t>
    </r>
  </si>
  <si>
    <t xml:space="preserve"> Población inscrita validada FONASA</t>
  </si>
  <si>
    <t>3B</t>
  </si>
  <si>
    <r>
      <t xml:space="preserve">REM A_09
</t>
    </r>
    <r>
      <rPr>
        <b/>
        <sz val="10"/>
        <color rgb="FFFF0000"/>
        <rFont val="Calibri"/>
        <family val="2"/>
        <scheme val="minor"/>
      </rPr>
      <t>(*) Programa Odontológico</t>
    </r>
  </si>
  <si>
    <t>S48+T48</t>
  </si>
  <si>
    <t>4A</t>
  </si>
  <si>
    <t>Porcentaje de cobertura efectiva de personas con DIABETES MELLITUS TIPO 2</t>
  </si>
  <si>
    <t>REM P_04</t>
  </si>
  <si>
    <t>Cálculo Pob. Est. Según Prevalencia</t>
  </si>
  <si>
    <t>4B</t>
  </si>
  <si>
    <t>Porcentaje de personas con diabetes de 15 años y más con evaluación anual de pie</t>
  </si>
  <si>
    <t>C17</t>
  </si>
  <si>
    <t>Porcentaje de personas mayores de 15 años y más con cobertura efectiva de hipertensión arterial</t>
  </si>
  <si>
    <t>Establecimientos con plan de participación social elaborado y funcionando participativamente</t>
  </si>
  <si>
    <t>Actividades Realizadas</t>
  </si>
  <si>
    <t xml:space="preserve">Actividades Comprometidas </t>
  </si>
  <si>
    <t>Evaluación de Indicadores de Metas Sanitarias de la Ley 19.813 APS año 2022</t>
  </si>
  <si>
    <t>Cobquecura</t>
  </si>
  <si>
    <t>Quirihue</t>
  </si>
  <si>
    <t>Ñiquén</t>
  </si>
  <si>
    <t>C.Dr. Durán Trujillo</t>
  </si>
  <si>
    <t>Ninhue</t>
  </si>
  <si>
    <t>C. Teresa Baldecchi</t>
  </si>
  <si>
    <t>Trehuaco</t>
  </si>
  <si>
    <t>San Nicolas</t>
  </si>
  <si>
    <t>San Fabián</t>
  </si>
  <si>
    <t>Coelemu</t>
  </si>
  <si>
    <t>Portezuelo</t>
  </si>
  <si>
    <r>
      <rPr>
        <sz val="9"/>
        <color theme="1"/>
        <rFont val="Calibri"/>
        <family val="2"/>
        <scheme val="minor"/>
      </rPr>
      <t>Promedio</t>
    </r>
    <r>
      <rPr>
        <sz val="10"/>
        <color theme="1"/>
        <rFont val="Calibri"/>
        <family val="2"/>
        <scheme val="minor"/>
      </rPr>
      <t xml:space="preserve"> </t>
    </r>
    <r>
      <rPr>
        <sz val="10.5"/>
        <color theme="1"/>
        <rFont val="Calibri"/>
        <family val="2"/>
        <scheme val="minor"/>
      </rPr>
      <t>Chillán</t>
    </r>
  </si>
  <si>
    <t>CESFAM Coihueco</t>
  </si>
  <si>
    <t>Ranquil</t>
  </si>
  <si>
    <t>Promedio Chillán Viejo</t>
  </si>
  <si>
    <t>CESFAM Luis Montecinos</t>
  </si>
  <si>
    <t>Bulnes</t>
  </si>
  <si>
    <t>Quillón</t>
  </si>
  <si>
    <t>Promedio San Ignacio</t>
  </si>
  <si>
    <t>El Carmen</t>
  </si>
  <si>
    <t>Pinto</t>
  </si>
  <si>
    <t>Pemuco</t>
  </si>
  <si>
    <t>Establecimiento</t>
  </si>
  <si>
    <t>Corte Junio</t>
  </si>
  <si>
    <t>Yungay</t>
  </si>
  <si>
    <t>Promedio Chillán</t>
  </si>
  <si>
    <t>CESFAM DR.FEDERICO PUGA</t>
  </si>
  <si>
    <t>Promedio Coihueco</t>
  </si>
  <si>
    <t>_SAN IGNACIO</t>
  </si>
  <si>
    <t>_SAN CARLOS</t>
  </si>
  <si>
    <t>CESFAM D.J. DURAN TRUJILLO</t>
  </si>
  <si>
    <t>Promedio San Carlos</t>
  </si>
  <si>
    <t>CÓDIGO REM</t>
  </si>
  <si>
    <t>POSTAS</t>
  </si>
  <si>
    <t>CONSOLIDADO POR COMUNAS</t>
  </si>
  <si>
    <t>Meta N°1</t>
  </si>
  <si>
    <t>Meta N°2</t>
  </si>
  <si>
    <t>Meta N°3 A</t>
  </si>
  <si>
    <t>Meta N°3 B</t>
  </si>
  <si>
    <t>Meta N°4 A</t>
  </si>
  <si>
    <t>Meta N°4 B</t>
  </si>
  <si>
    <t>Meta N°5</t>
  </si>
  <si>
    <t>Meta N°6</t>
  </si>
  <si>
    <t>Meta N°7</t>
  </si>
  <si>
    <t>Chillán</t>
  </si>
  <si>
    <t>Chillán Viejo</t>
  </si>
  <si>
    <t>Coihueco</t>
  </si>
  <si>
    <t>San Carlos</t>
  </si>
  <si>
    <t>C36+C37</t>
  </si>
  <si>
    <t>C34+C35</t>
  </si>
  <si>
    <t>META 3B: Niños y niñas de 6 años libres de caries</t>
  </si>
  <si>
    <r>
      <t xml:space="preserve">Meta Nacional ≥ 80% de cobertura
(Meta local </t>
    </r>
    <r>
      <rPr>
        <sz val="10"/>
        <color theme="0"/>
        <rFont val="Calibri"/>
        <family val="2"/>
      </rPr>
      <t>≥ 90% de exigencia)</t>
    </r>
  </si>
  <si>
    <t>Meta Nacional ≥ 90%
(O disminuir brecha)</t>
  </si>
  <si>
    <t>Meta Nacional ≥ 43%
(O disminuir brecha)</t>
  </si>
  <si>
    <t>Ley 19.813</t>
  </si>
  <si>
    <t>Nº</t>
  </si>
  <si>
    <t>ACTIVIDAD</t>
  </si>
  <si>
    <t>DETALLE</t>
  </si>
  <si>
    <t>HORARIO</t>
  </si>
  <si>
    <t>Reunión de inicio</t>
  </si>
  <si>
    <t>9.00 a 9.30 hrs.</t>
  </si>
  <si>
    <t>Análisis de los REM</t>
  </si>
  <si>
    <t>D. David Carter/ Nicole Herrera</t>
  </si>
  <si>
    <t>9.30 a 12.00 hrs.</t>
  </si>
  <si>
    <t>Recuperación desarrollo sicomotor</t>
  </si>
  <si>
    <t>D. Marcia Sánchez</t>
  </si>
  <si>
    <t>9.30 a 11.00 hrs.</t>
  </si>
  <si>
    <t>PAP</t>
  </si>
  <si>
    <t>11.00 a 12.45 hrs.</t>
  </si>
  <si>
    <t>Protección Salud Bucal 0 a 9</t>
  </si>
  <si>
    <t>D. Juanita San Martín</t>
  </si>
  <si>
    <t>Odontología 6 años libre de caries</t>
  </si>
  <si>
    <t>11.00 a 12.30 hrs.</t>
  </si>
  <si>
    <t>Diabetes</t>
  </si>
  <si>
    <t>Diabetes - DM Tipo 2</t>
  </si>
  <si>
    <t>D. Albert Mercado</t>
  </si>
  <si>
    <t>Diabetes - pie diabético</t>
  </si>
  <si>
    <t>11.00 a 12.00 hrs.</t>
  </si>
  <si>
    <t>Hipertensión</t>
  </si>
  <si>
    <t>12.00 a 13.30 hrs.</t>
  </si>
  <si>
    <t>LME</t>
  </si>
  <si>
    <t>12.45 a 13.45 hrs.</t>
  </si>
  <si>
    <t>Participación Social</t>
  </si>
  <si>
    <t>12.30 a 13.45 hrs.</t>
  </si>
  <si>
    <t>Reunión de Término</t>
  </si>
  <si>
    <t>13.45 a 14.15 hrs.</t>
  </si>
  <si>
    <t>LEY 19.813</t>
  </si>
  <si>
    <t>Institución</t>
  </si>
  <si>
    <t>Comuna</t>
  </si>
  <si>
    <t>Fecha</t>
  </si>
  <si>
    <t>CESFAM Ninhue</t>
  </si>
  <si>
    <t>03 de octubre</t>
  </si>
  <si>
    <t>04 de octubre</t>
  </si>
  <si>
    <t>CESFAM Isabel Riquelme</t>
  </si>
  <si>
    <t>06 de octubre</t>
  </si>
  <si>
    <t>CESFAM Quillón (ALBERTO GYHRA)</t>
  </si>
  <si>
    <t>11 de octubre</t>
  </si>
  <si>
    <t>CESFAM Teresa Baldecchi</t>
  </si>
  <si>
    <t>12 de octubre</t>
  </si>
  <si>
    <t>CESFAM Durán Trujillo</t>
  </si>
  <si>
    <t>18 de octubre</t>
  </si>
  <si>
    <t>CESFAM Michelle Bachelet</t>
  </si>
  <si>
    <t>19 de octubre</t>
  </si>
  <si>
    <t>CESFAM San Nicolás</t>
  </si>
  <si>
    <t>San Nicolás</t>
  </si>
  <si>
    <t>25 de octubre</t>
  </si>
  <si>
    <t>CESFAM San Ramón Nonato</t>
  </si>
  <si>
    <t>26 de octubre</t>
  </si>
  <si>
    <t>CESFAM Campanario</t>
  </si>
  <si>
    <t>*</t>
  </si>
  <si>
    <t>Corte al 31 de diciembre de 2022</t>
  </si>
  <si>
    <t>SUMA('[REM03_Octubre_2021(valores).xlsx]117308'!$J$22:$M$22)+SUMA('[REM03_Noviembre_2021(valores).xlsx]117308'!$J$22:$M$22)+SUMA('[REM03_Diciembre_2021(valores).xlsx]117308'!$J$22:$M$22)+SUMA('[REM_03 Consolidado a Septiembre Año 2022 (valores).xlsx]117308'!$J$22:$M$22) + SUMA('[REM03_Octubre_2021(valores).xlsx]117454'!$J$22:$M$22)+SUMA('[REM03_Noviembre_2021(valores).xlsx]117454'!$J$22:$M$22)+SUMA('[REM03_Diciembre_2021(valores).xlsx]117454'!$J$22:$M$22)+SUMA('[REM_03 Consolidado a Septiembre Año 2022 (valores).xlsx]117454'!$J$22:$M$22)</t>
  </si>
  <si>
    <t>SUMA('[REM03_Octubre_2021(valores).xlsx]117303'!$J$22:$M$22)+SUMA('[REM03_Noviembre_2021(valores).xlsx]117303'!$J$22:$M$22)+SUMA('[REM03_Diciembre_2021(valores).xlsx]117303'!$J$22:$M$22)+SUMA('[REM_03 Consolidado a Septiembre Año 2022 (valores).xlsx]117303'!$J$22:$M$22)+SUMA('[REM03_Octubre_2021(valores).xlsx]117410'!$J$22:$M$22)+SUMA('[REM03_Noviembre_2021(valores).xlsx]117410'!$J$22:$M$22)+SUMA('[REM03_Diciembre_2021(valores).xlsx]117410'!$J$22:$M$22)+SUMA('[REM_03 Consolidado a Septiembre Año 2022 (valores).xlsx]117410'!$J$22:$M$22)</t>
  </si>
  <si>
    <t>Tramo 1: 100% C. Variable</t>
  </si>
  <si>
    <t>Tramo 2: 50% C. Variable</t>
  </si>
  <si>
    <t xml:space="preserve">Meta 8: </t>
  </si>
  <si>
    <t>Meta 7  = LB ASMA y EPOC</t>
  </si>
  <si>
    <t>Corte al 31 de marzo de 2024</t>
  </si>
  <si>
    <t>Denominador: N° Total de personas con EPOC de 40 años y más, más N° de personas con asma de 5 años y más, esperadas según prevalencia nacional para año 2024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</si>
  <si>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Nº de niñas y niños de 12 a 23 meses diagnosticados con riesgo del desarrollo psicomotor (DSM) recuperados en el periodo de enero a diciembre de 2024.</t>
    </r>
  </si>
  <si>
    <r>
      <rPr>
        <u/>
        <sz val="8"/>
        <color theme="0"/>
        <rFont val="Calibri"/>
        <family val="2"/>
        <scheme val="minor"/>
      </rPr>
      <t>Denominador</t>
    </r>
    <r>
      <rPr>
        <sz val="8"/>
        <color theme="0"/>
        <rFont val="Calibri"/>
        <family val="2"/>
        <scheme val="minor"/>
      </rPr>
      <t>: Nº de niñas y niños de 12 a 23 meses diagnosticados en su primera evaluación con riesgo del desarrollo psicomotor de octubre 2023 a septiembre de 2024.</t>
    </r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</si>
  <si>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N° logrado de personas de 25 a 64 años inscritas validadas por FONASA, con PAP o Test de VPH vigente a diciembre 2024.</t>
    </r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</si>
  <si>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N° de niños y niñas de 0 a 9 años en control con enfoque de riesgo odontológico y pauta CERO aplicada en el periodo enero a diciembre 2024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</si>
  <si>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N° total de niños y niñas inscritos validados de 0 a 9 años, año 2024.</t>
    </r>
  </si>
  <si>
    <t>Control con efoque de riesgo odontológico en población de 0 a 9 años</t>
  </si>
  <si>
    <t xml:space="preserve">Detección precoz del cáncer de cuello uterino </t>
  </si>
  <si>
    <t>Recuperación del desarrollo psicomotor</t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</si>
  <si>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N° total de niños y niñas inscritos validados de 6 años, año 2024.</t>
    </r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</si>
  <si>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N° de niños y niñas de 6 años con CEOD igual a 0 en el periodo enero a diciembre 2024</t>
    </r>
  </si>
  <si>
    <t>Meta Nacional ≥ 16%</t>
  </si>
  <si>
    <t>Meta Nacional ≥ 41%
(O disminuir brecha)</t>
  </si>
  <si>
    <t>Cobertura efectiva de diabetes tipo 2 (DM2) en personas de 15 y más años.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</si>
  <si>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N° de personas con DM2 de 15 a 79 años, con Hemoglobina Glicosilada bajo 7%, más el N° de personas con DM2 de 80 y más años con Hemoglobina Glicosilada bajo 8% según último control vigente, en los últimos 12 meses.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</si>
  <si>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N° Total de personas de 15 años y más con DM2 estimadas según prevalencia de acuerdo con el siguiente detalle (ENS 2016-17)</t>
    </r>
  </si>
  <si>
    <t>Meta Nacional ≥ 29%
(O disminuir brecha)</t>
  </si>
  <si>
    <t>Evaluación anual de los pies en personas con diabetes bajo control de 15 y más años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</si>
  <si>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N° de personas de 15 años y más con DM2 bajo control, con evaluación de pie diabético vigente, en los últimos 12 meses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</si>
  <si>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N° de personas de 15 años y más con DM2 bajo control en los últimos 12 meses</t>
    </r>
  </si>
  <si>
    <t>Cobertura de tratamiento en personas de 15 años y más con hipertensión arterial (HTA)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</si>
  <si>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N° personas con hipertensión arterial de 15 a 79 años con presión arterial &lt;140/90 mmHg, más N° personas con hipertensión arterial de 80 y más años con presión arterial &lt;150/90 mmHg, según último control vigente, en los últimos 12 meses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</si>
  <si>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Total de personas de 15 y más años con hipertensión arterial estimadas según prevalencia estimada (ENS 2016-17)</t>
    </r>
  </si>
  <si>
    <t xml:space="preserve">Lactancia materna exclusiva (LME) en niños y niñas al sexto mes de vida </t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</si>
  <si>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N° de niños y niñas con control de salud del sexto mes realizado en el período de enero a diciembre de 2024</t>
    </r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</si>
  <si>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N° de niños y niñas controlados en el período de enero a diciembre de 2024 que al control de salud del sexto mes recibieron LME</t>
    </r>
  </si>
  <si>
    <t>Meta Nacional ≥ 10%</t>
  </si>
  <si>
    <t>Cobertura de tratamiento en personas ASMA y EPOC</t>
  </si>
  <si>
    <t>Numerador: N° de personas con EPOC de 40 años y más que logran nivel de control "adecuado" más el N° de personas con asma de 5 años y más, que logran nivel de control "controlado", durante el año 2024</t>
  </si>
  <si>
    <t>Establecimientos con plan de participación social en salud</t>
  </si>
  <si>
    <t>≥ 100%</t>
  </si>
  <si>
    <t xml:space="preserve">Cobertura efectiva de tratamiento en enfermedades respiratorias crónicas (asma y EPOC) en personas de 5 años y más  </t>
  </si>
  <si>
    <t>REM P_03</t>
  </si>
  <si>
    <t>H61</t>
  </si>
  <si>
    <t>H67</t>
  </si>
  <si>
    <t>C61+C62+C63+C64</t>
  </si>
  <si>
    <t>SUMA(F205:Y205)</t>
  </si>
  <si>
    <t>SUMA(H59:AM59) + C63</t>
  </si>
  <si>
    <t>J26+K26+L26+M26+J28+K28+L28+M28</t>
  </si>
  <si>
    <t>(J23+K23+L23+M23)-(J40+K40+L40+M40)</t>
  </si>
  <si>
    <t>22
23</t>
  </si>
  <si>
    <t>39
40</t>
  </si>
  <si>
    <r>
      <rPr>
        <b/>
        <sz val="12"/>
        <color theme="0"/>
        <rFont val="Calibri"/>
        <family val="2"/>
        <scheme val="minor"/>
      </rPr>
      <t>_</t>
    </r>
    <r>
      <rPr>
        <b/>
        <sz val="12"/>
        <color theme="1"/>
        <rFont val="Calibri"/>
        <family val="2"/>
        <scheme val="minor"/>
      </rPr>
      <t>=</t>
    </r>
  </si>
  <si>
    <t>Corte al 30 de junio de 2024</t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</si>
  <si>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N° MINIMO ESPERADO DE MUJERES CON PAP VIGENTE A DICIEMBRE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</si>
</sst>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#,##0.0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0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8"/>
      <color theme="1"/>
      <name val="Calibri"/>
      <family val="2"/>
      <scheme val="minor"/>
    </font>
    <font>
      <b/>
      <i/>
      <u/>
      <sz val="7"/>
      <color theme="1"/>
      <name val="Calibri"/>
      <family val="2"/>
      <scheme val="minor"/>
    </font>
    <font>
      <b/>
      <sz val="7.7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7.5"/>
      <color theme="0"/>
      <name val="Calibri"/>
      <family val="2"/>
      <scheme val="minor"/>
    </font>
    <font>
      <u/>
      <sz val="7.5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name val="Arial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u/>
      <sz val="20"/>
      <color theme="4" tint="-0.499984740745262"/>
      <name val="Calibri"/>
      <family val="2"/>
      <scheme val="minor"/>
    </font>
    <font>
      <sz val="10.5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u/>
      <sz val="8"/>
      <color theme="0"/>
      <name val="Calibri"/>
      <family val="2"/>
      <scheme val="minor"/>
    </font>
    <font>
      <sz val="10"/>
      <color theme="0"/>
      <name val="Calibri"/>
      <family val="2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color theme="4" tint="-0.24997711111789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1D1D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1" fillId="0" borderId="0"/>
    <xf numFmtId="0" fontId="5" fillId="0" borderId="0">
      <alignment vertical="top"/>
    </xf>
  </cellStyleXfs>
  <cellXfs count="242">
    <xf numFmtId="0" fontId="0" fillId="0" borderId="0" xfId="0"/>
    <xf numFmtId="0" fontId="0" fillId="2" borderId="0" xfId="0" applyFill="1"/>
    <xf numFmtId="0" fontId="7" fillId="0" borderId="0" xfId="0" applyFont="1"/>
    <xf numFmtId="0" fontId="9" fillId="0" borderId="0" xfId="0" applyFont="1"/>
    <xf numFmtId="0" fontId="9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9" fontId="9" fillId="0" borderId="0" xfId="1" applyFont="1" applyBorder="1" applyAlignment="1">
      <alignment horizontal="center"/>
    </xf>
    <xf numFmtId="9" fontId="9" fillId="0" borderId="0" xfId="1" applyFont="1" applyBorder="1" applyAlignment="1">
      <alignment horizontal="center" vertical="center"/>
    </xf>
    <xf numFmtId="9" fontId="9" fillId="2" borderId="0" xfId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left"/>
    </xf>
    <xf numFmtId="164" fontId="9" fillId="0" borderId="2" xfId="1" applyNumberFormat="1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164" fontId="9" fillId="2" borderId="0" xfId="1" applyNumberFormat="1" applyFont="1" applyFill="1" applyBorder="1" applyAlignment="1">
      <alignment horizontal="center"/>
    </xf>
    <xf numFmtId="164" fontId="9" fillId="0" borderId="0" xfId="1" applyNumberFormat="1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1" fontId="9" fillId="5" borderId="4" xfId="1" applyNumberFormat="1" applyFont="1" applyFill="1" applyBorder="1" applyAlignment="1">
      <alignment horizontal="center" vertical="center"/>
    </xf>
    <xf numFmtId="164" fontId="9" fillId="5" borderId="4" xfId="1" applyNumberFormat="1" applyFont="1" applyFill="1" applyBorder="1" applyAlignment="1">
      <alignment horizontal="center" vertical="center"/>
    </xf>
    <xf numFmtId="9" fontId="9" fillId="2" borderId="4" xfId="1" applyFont="1" applyFill="1" applyBorder="1" applyAlignment="1">
      <alignment horizontal="center" vertical="center"/>
    </xf>
    <xf numFmtId="9" fontId="9" fillId="5" borderId="4" xfId="1" applyFont="1" applyFill="1" applyBorder="1" applyAlignment="1">
      <alignment horizontal="center" vertical="center"/>
    </xf>
    <xf numFmtId="164" fontId="9" fillId="2" borderId="4" xfId="1" applyNumberFormat="1" applyFont="1" applyFill="1" applyBorder="1" applyAlignment="1">
      <alignment horizontal="center" vertical="center"/>
    </xf>
    <xf numFmtId="164" fontId="9" fillId="5" borderId="4" xfId="1" applyNumberFormat="1" applyFont="1" applyFill="1" applyBorder="1" applyAlignment="1">
      <alignment horizontal="left" vertical="center"/>
    </xf>
    <xf numFmtId="2" fontId="9" fillId="2" borderId="4" xfId="1" applyNumberFormat="1" applyFont="1" applyFill="1" applyBorder="1" applyAlignment="1">
      <alignment horizontal="center" vertical="center"/>
    </xf>
    <xf numFmtId="2" fontId="9" fillId="5" borderId="4" xfId="1" applyNumberFormat="1" applyFont="1" applyFill="1" applyBorder="1" applyAlignment="1">
      <alignment horizontal="center" vertical="center"/>
    </xf>
    <xf numFmtId="0" fontId="15" fillId="2" borderId="4" xfId="0" applyFont="1" applyFill="1" applyBorder="1"/>
    <xf numFmtId="0" fontId="15" fillId="5" borderId="4" xfId="0" applyFont="1" applyFill="1" applyBorder="1"/>
    <xf numFmtId="0" fontId="9" fillId="5" borderId="4" xfId="0" applyFont="1" applyFill="1" applyBorder="1"/>
    <xf numFmtId="1" fontId="9" fillId="6" borderId="4" xfId="1" applyNumberFormat="1" applyFont="1" applyFill="1" applyBorder="1" applyAlignment="1">
      <alignment horizontal="center" vertical="center"/>
    </xf>
    <xf numFmtId="165" fontId="16" fillId="6" borderId="4" xfId="1" applyNumberFormat="1" applyFont="1" applyFill="1" applyBorder="1" applyAlignment="1">
      <alignment horizontal="center" vertical="center"/>
    </xf>
    <xf numFmtId="9" fontId="9" fillId="6" borderId="4" xfId="1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/>
    </xf>
    <xf numFmtId="164" fontId="9" fillId="6" borderId="4" xfId="1" applyNumberFormat="1" applyFont="1" applyFill="1" applyBorder="1" applyAlignment="1">
      <alignment horizontal="center" vertical="center"/>
    </xf>
    <xf numFmtId="0" fontId="15" fillId="6" borderId="4" xfId="0" applyFont="1" applyFill="1" applyBorder="1"/>
    <xf numFmtId="165" fontId="9" fillId="2" borderId="4" xfId="1" applyNumberFormat="1" applyFont="1" applyFill="1" applyBorder="1" applyAlignment="1">
      <alignment horizontal="center" vertical="center"/>
    </xf>
    <xf numFmtId="165" fontId="9" fillId="6" borderId="4" xfId="1" applyNumberFormat="1" applyFont="1" applyFill="1" applyBorder="1" applyAlignment="1">
      <alignment horizontal="center" vertical="center"/>
    </xf>
    <xf numFmtId="2" fontId="9" fillId="6" borderId="4" xfId="1" applyNumberFormat="1" applyFont="1" applyFill="1" applyBorder="1" applyAlignment="1">
      <alignment horizontal="center" vertical="center"/>
    </xf>
    <xf numFmtId="0" fontId="9" fillId="6" borderId="4" xfId="0" applyFont="1" applyFill="1" applyBorder="1"/>
    <xf numFmtId="2" fontId="9" fillId="7" borderId="4" xfId="1" applyNumberFormat="1" applyFont="1" applyFill="1" applyBorder="1" applyAlignment="1">
      <alignment horizontal="center" vertical="center"/>
    </xf>
    <xf numFmtId="9" fontId="9" fillId="7" borderId="4" xfId="1" applyFont="1" applyFill="1" applyBorder="1" applyAlignment="1">
      <alignment horizontal="center" vertical="center"/>
    </xf>
    <xf numFmtId="165" fontId="9" fillId="7" borderId="4" xfId="1" applyNumberFormat="1" applyFont="1" applyFill="1" applyBorder="1" applyAlignment="1">
      <alignment horizontal="center" vertical="center"/>
    </xf>
    <xf numFmtId="164" fontId="9" fillId="7" borderId="4" xfId="1" applyNumberFormat="1" applyFont="1" applyFill="1" applyBorder="1" applyAlignment="1">
      <alignment horizontal="center" vertical="center"/>
    </xf>
    <xf numFmtId="0" fontId="9" fillId="2" borderId="4" xfId="0" applyFont="1" applyFill="1" applyBorder="1"/>
    <xf numFmtId="0" fontId="9" fillId="8" borderId="4" xfId="0" applyFont="1" applyFill="1" applyBorder="1"/>
    <xf numFmtId="0" fontId="10" fillId="0" borderId="0" xfId="0" applyFont="1" applyAlignment="1">
      <alignment vertical="center"/>
    </xf>
    <xf numFmtId="0" fontId="19" fillId="2" borderId="4" xfId="0" applyFont="1" applyFill="1" applyBorder="1" applyAlignment="1">
      <alignment horizontal="center" vertical="center" wrapText="1"/>
    </xf>
    <xf numFmtId="0" fontId="19" fillId="9" borderId="4" xfId="0" applyFont="1" applyFill="1" applyBorder="1" applyAlignment="1">
      <alignment horizontal="center" vertical="center" wrapText="1"/>
    </xf>
    <xf numFmtId="2" fontId="18" fillId="9" borderId="4" xfId="0" applyNumberFormat="1" applyFont="1" applyFill="1" applyBorder="1" applyAlignment="1">
      <alignment horizontal="center" vertical="center" wrapText="1"/>
    </xf>
    <xf numFmtId="0" fontId="18" fillId="9" borderId="4" xfId="0" applyFont="1" applyFill="1" applyBorder="1" applyAlignment="1">
      <alignment horizontal="center" vertical="center"/>
    </xf>
    <xf numFmtId="2" fontId="18" fillId="2" borderId="4" xfId="0" applyNumberFormat="1" applyFont="1" applyFill="1" applyBorder="1" applyAlignment="1">
      <alignment horizontal="center" vertical="center" wrapText="1"/>
    </xf>
    <xf numFmtId="2" fontId="18" fillId="2" borderId="5" xfId="0" applyNumberFormat="1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vertical="center"/>
    </xf>
    <xf numFmtId="0" fontId="13" fillId="0" borderId="0" xfId="0" applyFont="1"/>
    <xf numFmtId="0" fontId="21" fillId="2" borderId="7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2" fillId="2" borderId="0" xfId="0" applyFont="1" applyFill="1" applyAlignment="1">
      <alignment horizontal="center" vertical="center"/>
    </xf>
    <xf numFmtId="0" fontId="15" fillId="6" borderId="4" xfId="0" applyFont="1" applyFill="1" applyBorder="1" applyAlignment="1">
      <alignment horizontal="center"/>
    </xf>
    <xf numFmtId="0" fontId="3" fillId="0" borderId="0" xfId="0" applyFont="1" applyAlignment="1">
      <alignment vertical="center"/>
    </xf>
    <xf numFmtId="0" fontId="25" fillId="0" borderId="0" xfId="0" applyFont="1"/>
    <xf numFmtId="0" fontId="26" fillId="0" borderId="0" xfId="0" applyFont="1" applyAlignment="1">
      <alignment horizontal="center" vertical="center"/>
    </xf>
    <xf numFmtId="0" fontId="20" fillId="0" borderId="0" xfId="0" applyFont="1"/>
    <xf numFmtId="0" fontId="18" fillId="0" borderId="0" xfId="0" applyFont="1" applyAlignment="1">
      <alignment vertical="center"/>
    </xf>
    <xf numFmtId="9" fontId="9" fillId="0" borderId="2" xfId="1" applyFont="1" applyBorder="1" applyAlignment="1">
      <alignment horizontal="center"/>
    </xf>
    <xf numFmtId="0" fontId="9" fillId="0" borderId="0" xfId="0" applyFont="1" applyAlignment="1">
      <alignment horizontal="left"/>
    </xf>
    <xf numFmtId="1" fontId="9" fillId="0" borderId="0" xfId="0" applyNumberFormat="1" applyFont="1" applyAlignment="1">
      <alignment horizontal="center" vertical="center"/>
    </xf>
    <xf numFmtId="1" fontId="2" fillId="0" borderId="0" xfId="0" applyNumberFormat="1" applyFont="1"/>
    <xf numFmtId="164" fontId="9" fillId="0" borderId="2" xfId="0" applyNumberFormat="1" applyFont="1" applyBorder="1" applyAlignment="1">
      <alignment horizontal="left"/>
    </xf>
    <xf numFmtId="2" fontId="18" fillId="9" borderId="6" xfId="0" applyNumberFormat="1" applyFont="1" applyFill="1" applyBorder="1" applyAlignment="1">
      <alignment horizontal="center" vertical="center" wrapText="1"/>
    </xf>
    <xf numFmtId="0" fontId="18" fillId="9" borderId="6" xfId="0" applyFont="1" applyFill="1" applyBorder="1" applyAlignment="1">
      <alignment horizontal="center" vertical="center"/>
    </xf>
    <xf numFmtId="0" fontId="27" fillId="9" borderId="4" xfId="0" applyFont="1" applyFill="1" applyBorder="1" applyAlignment="1">
      <alignment horizontal="left" vertical="center" wrapText="1"/>
    </xf>
    <xf numFmtId="0" fontId="29" fillId="9" borderId="4" xfId="0" applyFont="1" applyFill="1" applyBorder="1" applyAlignment="1">
      <alignment horizontal="center" vertical="center"/>
    </xf>
    <xf numFmtId="0" fontId="29" fillId="11" borderId="4" xfId="0" applyFont="1" applyFill="1" applyBorder="1" applyAlignment="1">
      <alignment horizontal="center" vertical="center"/>
    </xf>
    <xf numFmtId="0" fontId="27" fillId="11" borderId="4" xfId="0" applyFont="1" applyFill="1" applyBorder="1" applyAlignment="1">
      <alignment horizontal="left" vertical="center" wrapText="1"/>
    </xf>
    <xf numFmtId="0" fontId="18" fillId="11" borderId="4" xfId="0" applyFont="1" applyFill="1" applyBorder="1" applyAlignment="1">
      <alignment horizontal="center" vertical="center"/>
    </xf>
    <xf numFmtId="2" fontId="18" fillId="11" borderId="4" xfId="0" applyNumberFormat="1" applyFont="1" applyFill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/>
    </xf>
    <xf numFmtId="0" fontId="18" fillId="11" borderId="4" xfId="0" applyFont="1" applyFill="1" applyBorder="1" applyAlignment="1">
      <alignment vertical="center"/>
    </xf>
    <xf numFmtId="0" fontId="18" fillId="11" borderId="4" xfId="0" applyFont="1" applyFill="1" applyBorder="1" applyAlignment="1">
      <alignment horizontal="center" vertical="center" wrapText="1"/>
    </xf>
    <xf numFmtId="0" fontId="27" fillId="9" borderId="6" xfId="0" applyFont="1" applyFill="1" applyBorder="1" applyAlignment="1">
      <alignment horizontal="left" vertical="center" wrapText="1"/>
    </xf>
    <xf numFmtId="0" fontId="8" fillId="9" borderId="4" xfId="0" applyFont="1" applyFill="1" applyBorder="1" applyAlignment="1">
      <alignment horizontal="center" vertical="center" wrapText="1"/>
    </xf>
    <xf numFmtId="164" fontId="15" fillId="6" borderId="4" xfId="0" applyNumberFormat="1" applyFont="1" applyFill="1" applyBorder="1" applyAlignment="1">
      <alignment horizontal="center" vertical="center"/>
    </xf>
    <xf numFmtId="164" fontId="15" fillId="6" borderId="4" xfId="0" applyNumberFormat="1" applyFont="1" applyFill="1" applyBorder="1" applyAlignment="1">
      <alignment horizontal="center"/>
    </xf>
    <xf numFmtId="0" fontId="8" fillId="11" borderId="4" xfId="0" applyFont="1" applyFill="1" applyBorder="1" applyAlignment="1">
      <alignment horizontal="center" vertical="center" wrapText="1"/>
    </xf>
    <xf numFmtId="3" fontId="15" fillId="6" borderId="4" xfId="1" applyNumberFormat="1" applyFont="1" applyFill="1" applyBorder="1" applyAlignment="1">
      <alignment horizontal="center" vertical="center"/>
    </xf>
    <xf numFmtId="1" fontId="15" fillId="6" borderId="4" xfId="1" applyNumberFormat="1" applyFont="1" applyFill="1" applyBorder="1" applyAlignment="1">
      <alignment horizontal="center" vertical="center"/>
    </xf>
    <xf numFmtId="3" fontId="9" fillId="5" borderId="4" xfId="1" applyNumberFormat="1" applyFont="1" applyFill="1" applyBorder="1" applyAlignment="1">
      <alignment horizontal="center" vertical="center"/>
    </xf>
    <xf numFmtId="0" fontId="31" fillId="0" borderId="0" xfId="0" applyFont="1" applyAlignment="1">
      <alignment vertical="top"/>
    </xf>
    <xf numFmtId="0" fontId="33" fillId="0" borderId="0" xfId="7" applyFont="1">
      <alignment vertical="top"/>
    </xf>
    <xf numFmtId="0" fontId="24" fillId="9" borderId="2" xfId="7" applyFont="1" applyFill="1" applyBorder="1" applyAlignment="1">
      <alignment horizontal="center" vertical="center"/>
    </xf>
    <xf numFmtId="0" fontId="8" fillId="9" borderId="2" xfId="7" applyFont="1" applyFill="1" applyBorder="1" applyAlignment="1">
      <alignment vertical="center"/>
    </xf>
    <xf numFmtId="0" fontId="34" fillId="0" borderId="0" xfId="7" applyFont="1" applyAlignment="1">
      <alignment vertical="center"/>
    </xf>
    <xf numFmtId="0" fontId="35" fillId="0" borderId="2" xfId="7" applyFont="1" applyBorder="1" applyAlignment="1">
      <alignment horizontal="center" vertical="center"/>
    </xf>
    <xf numFmtId="0" fontId="33" fillId="0" borderId="2" xfId="7" applyFont="1" applyBorder="1" applyAlignment="1">
      <alignment horizontal="left" vertical="center" wrapText="1" indent="1"/>
    </xf>
    <xf numFmtId="0" fontId="33" fillId="0" borderId="2" xfId="7" applyFont="1" applyBorder="1" applyAlignment="1">
      <alignment horizontal="left" vertical="center" indent="1"/>
    </xf>
    <xf numFmtId="0" fontId="33" fillId="0" borderId="0" xfId="7" applyFont="1" applyAlignment="1">
      <alignment vertical="center"/>
    </xf>
    <xf numFmtId="0" fontId="33" fillId="8" borderId="2" xfId="7" applyFont="1" applyFill="1" applyBorder="1" applyAlignment="1">
      <alignment horizontal="left" vertical="center" indent="1"/>
    </xf>
    <xf numFmtId="0" fontId="33" fillId="12" borderId="2" xfId="7" applyFont="1" applyFill="1" applyBorder="1" applyAlignment="1">
      <alignment horizontal="left" vertical="center" wrapText="1" indent="1"/>
    </xf>
    <xf numFmtId="0" fontId="33" fillId="3" borderId="2" xfId="7" applyFont="1" applyFill="1" applyBorder="1" applyAlignment="1">
      <alignment horizontal="left" vertical="center" wrapText="1" indent="1"/>
    </xf>
    <xf numFmtId="0" fontId="33" fillId="13" borderId="2" xfId="7" applyFont="1" applyFill="1" applyBorder="1" applyAlignment="1">
      <alignment horizontal="left" vertical="center" wrapText="1" indent="1"/>
    </xf>
    <xf numFmtId="0" fontId="33" fillId="13" borderId="2" xfId="7" applyFont="1" applyFill="1" applyBorder="1" applyAlignment="1">
      <alignment horizontal="left" vertical="center" indent="1"/>
    </xf>
    <xf numFmtId="0" fontId="35" fillId="0" borderId="0" xfId="7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7" fillId="10" borderId="0" xfId="0" applyFont="1" applyFill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164" fontId="13" fillId="0" borderId="0" xfId="0" applyNumberFormat="1" applyFont="1" applyAlignment="1">
      <alignment horizontal="right" vertical="center"/>
    </xf>
    <xf numFmtId="164" fontId="13" fillId="0" borderId="0" xfId="1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9" fontId="7" fillId="0" borderId="0" xfId="0" applyNumberFormat="1" applyFont="1" applyAlignment="1">
      <alignment horizontal="center" vertical="center"/>
    </xf>
    <xf numFmtId="164" fontId="13" fillId="0" borderId="0" xfId="1" applyNumberFormat="1" applyFont="1" applyAlignment="1">
      <alignment horizontal="left" vertical="center"/>
    </xf>
    <xf numFmtId="0" fontId="39" fillId="9" borderId="4" xfId="0" applyFont="1" applyFill="1" applyBorder="1" applyAlignment="1">
      <alignment horizontal="left" vertical="center"/>
    </xf>
    <xf numFmtId="0" fontId="39" fillId="9" borderId="7" xfId="0" applyFont="1" applyFill="1" applyBorder="1" applyAlignment="1">
      <alignment horizontal="left" vertical="center"/>
    </xf>
    <xf numFmtId="0" fontId="39" fillId="9" borderId="11" xfId="0" applyFont="1" applyFill="1" applyBorder="1" applyAlignment="1">
      <alignment horizontal="left" vertical="center"/>
    </xf>
    <xf numFmtId="0" fontId="39" fillId="9" borderId="5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7" fillId="8" borderId="4" xfId="0" applyFont="1" applyFill="1" applyBorder="1" applyAlignment="1">
      <alignment horizontal="left" vertical="center"/>
    </xf>
    <xf numFmtId="0" fontId="7" fillId="8" borderId="7" xfId="0" applyFont="1" applyFill="1" applyBorder="1" applyAlignment="1">
      <alignment horizontal="left" vertical="center"/>
    </xf>
    <xf numFmtId="0" fontId="7" fillId="8" borderId="11" xfId="0" applyFont="1" applyFill="1" applyBorder="1" applyAlignment="1">
      <alignment horizontal="left" vertical="center"/>
    </xf>
    <xf numFmtId="0" fontId="7" fillId="8" borderId="5" xfId="0" applyFont="1" applyFill="1" applyBorder="1" applyAlignment="1">
      <alignment horizontal="left" vertical="center"/>
    </xf>
    <xf numFmtId="165" fontId="7" fillId="8" borderId="4" xfId="1" applyNumberFormat="1" applyFont="1" applyFill="1" applyBorder="1" applyAlignment="1">
      <alignment horizontal="center" vertical="center"/>
    </xf>
    <xf numFmtId="0" fontId="40" fillId="8" borderId="7" xfId="0" applyFont="1" applyFill="1" applyBorder="1" applyAlignment="1">
      <alignment horizontal="left" vertical="center"/>
    </xf>
    <xf numFmtId="165" fontId="40" fillId="8" borderId="4" xfId="1" applyNumberFormat="1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left" vertical="center" indent="1"/>
    </xf>
    <xf numFmtId="0" fontId="7" fillId="8" borderId="4" xfId="0" applyFont="1" applyFill="1" applyBorder="1" applyAlignment="1">
      <alignment vertical="center"/>
    </xf>
    <xf numFmtId="0" fontId="40" fillId="8" borderId="7" xfId="0" applyFont="1" applyFill="1" applyBorder="1" applyAlignment="1">
      <alignment vertical="center"/>
    </xf>
    <xf numFmtId="0" fontId="7" fillId="2" borderId="4" xfId="0" applyFont="1" applyFill="1" applyBorder="1" applyAlignment="1">
      <alignment horizontal="left"/>
    </xf>
    <xf numFmtId="164" fontId="7" fillId="2" borderId="4" xfId="1" applyNumberFormat="1" applyFont="1" applyFill="1" applyBorder="1" applyAlignment="1">
      <alignment horizontal="center" vertical="center"/>
    </xf>
    <xf numFmtId="0" fontId="7" fillId="2" borderId="4" xfId="0" applyFont="1" applyFill="1" applyBorder="1"/>
    <xf numFmtId="0" fontId="30" fillId="8" borderId="4" xfId="0" applyFont="1" applyFill="1" applyBorder="1"/>
    <xf numFmtId="0" fontId="30" fillId="0" borderId="0" xfId="0" applyFont="1" applyAlignment="1">
      <alignment vertical="top"/>
    </xf>
    <xf numFmtId="0" fontId="25" fillId="9" borderId="4" xfId="0" applyFont="1" applyFill="1" applyBorder="1" applyAlignment="1">
      <alignment horizontal="left" vertical="center" wrapText="1"/>
    </xf>
    <xf numFmtId="0" fontId="9" fillId="0" borderId="13" xfId="0" applyFont="1" applyBorder="1"/>
    <xf numFmtId="0" fontId="39" fillId="11" borderId="4" xfId="0" applyFont="1" applyFill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/>
    </xf>
    <xf numFmtId="17" fontId="45" fillId="11" borderId="4" xfId="0" applyNumberFormat="1" applyFont="1" applyFill="1" applyBorder="1" applyAlignment="1">
      <alignment horizontal="left" vertical="center"/>
    </xf>
    <xf numFmtId="3" fontId="7" fillId="15" borderId="4" xfId="1" applyNumberFormat="1" applyFont="1" applyFill="1" applyBorder="1" applyAlignment="1">
      <alignment horizontal="center" vertical="center"/>
    </xf>
    <xf numFmtId="165" fontId="17" fillId="15" borderId="4" xfId="1" applyNumberFormat="1" applyFont="1" applyFill="1" applyBorder="1" applyAlignment="1">
      <alignment horizontal="center" vertical="center"/>
    </xf>
    <xf numFmtId="164" fontId="9" fillId="16" borderId="4" xfId="1" applyNumberFormat="1" applyFont="1" applyFill="1" applyBorder="1" applyAlignment="1">
      <alignment horizontal="center" vertical="center"/>
    </xf>
    <xf numFmtId="165" fontId="9" fillId="16" borderId="4" xfId="1" applyNumberFormat="1" applyFont="1" applyFill="1" applyBorder="1" applyAlignment="1">
      <alignment horizontal="center" vertical="center"/>
    </xf>
    <xf numFmtId="164" fontId="2" fillId="16" borderId="4" xfId="1" applyNumberFormat="1" applyFont="1" applyFill="1" applyBorder="1" applyAlignment="1">
      <alignment horizontal="center" vertical="center"/>
    </xf>
    <xf numFmtId="0" fontId="0" fillId="4" borderId="2" xfId="0" applyFill="1" applyBorder="1"/>
    <xf numFmtId="0" fontId="46" fillId="2" borderId="2" xfId="0" applyFont="1" applyFill="1" applyBorder="1" applyAlignment="1">
      <alignment horizontal="center"/>
    </xf>
    <xf numFmtId="0" fontId="46" fillId="2" borderId="2" xfId="0" applyFont="1" applyFill="1" applyBorder="1"/>
    <xf numFmtId="0" fontId="0" fillId="2" borderId="2" xfId="0" applyFill="1" applyBorder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4" borderId="2" xfId="0" applyFill="1" applyBorder="1" applyAlignment="1">
      <alignment horizontal="center"/>
    </xf>
    <xf numFmtId="0" fontId="0" fillId="0" borderId="2" xfId="0" applyBorder="1"/>
    <xf numFmtId="0" fontId="46" fillId="10" borderId="2" xfId="0" applyFont="1" applyFill="1" applyBorder="1"/>
    <xf numFmtId="0" fontId="0" fillId="10" borderId="2" xfId="0" applyFill="1" applyBorder="1"/>
    <xf numFmtId="0" fontId="25" fillId="2" borderId="0" xfId="0" applyFont="1" applyFill="1"/>
    <xf numFmtId="3" fontId="47" fillId="15" borderId="4" xfId="1" applyNumberFormat="1" applyFont="1" applyFill="1" applyBorder="1" applyAlignment="1">
      <alignment horizontal="center" vertical="center"/>
    </xf>
    <xf numFmtId="1" fontId="2" fillId="18" borderId="0" xfId="0" applyNumberFormat="1" applyFont="1" applyFill="1"/>
    <xf numFmtId="0" fontId="9" fillId="18" borderId="0" xfId="0" applyFont="1" applyFill="1"/>
    <xf numFmtId="0" fontId="9" fillId="0" borderId="4" xfId="0" applyFont="1" applyBorder="1"/>
    <xf numFmtId="9" fontId="9" fillId="0" borderId="4" xfId="1" applyFont="1" applyFill="1" applyBorder="1"/>
    <xf numFmtId="165" fontId="9" fillId="0" borderId="4" xfId="0" applyNumberFormat="1" applyFont="1" applyBorder="1"/>
    <xf numFmtId="3" fontId="9" fillId="0" borderId="4" xfId="0" applyNumberFormat="1" applyFont="1" applyBorder="1"/>
    <xf numFmtId="164" fontId="9" fillId="0" borderId="4" xfId="1" applyNumberFormat="1" applyFont="1" applyFill="1" applyBorder="1"/>
    <xf numFmtId="166" fontId="9" fillId="0" borderId="4" xfId="0" applyNumberFormat="1" applyFont="1" applyBorder="1"/>
    <xf numFmtId="9" fontId="15" fillId="0" borderId="4" xfId="0" applyNumberFormat="1" applyFont="1" applyBorder="1"/>
    <xf numFmtId="165" fontId="9" fillId="0" borderId="4" xfId="1" applyNumberFormat="1" applyFont="1" applyFill="1" applyBorder="1"/>
    <xf numFmtId="9" fontId="15" fillId="0" borderId="4" xfId="1" applyFont="1" applyFill="1" applyBorder="1"/>
    <xf numFmtId="0" fontId="13" fillId="0" borderId="0" xfId="0" applyFont="1" applyAlignment="1">
      <alignment horizontal="right"/>
    </xf>
    <xf numFmtId="9" fontId="9" fillId="0" borderId="4" xfId="0" applyNumberFormat="1" applyFont="1" applyBorder="1"/>
    <xf numFmtId="164" fontId="9" fillId="0" borderId="4" xfId="0" applyNumberFormat="1" applyFont="1" applyBorder="1"/>
    <xf numFmtId="166" fontId="13" fillId="0" borderId="0" xfId="0" applyNumberFormat="1" applyFont="1"/>
    <xf numFmtId="1" fontId="9" fillId="0" borderId="4" xfId="0" applyNumberFormat="1" applyFont="1" applyBorder="1"/>
    <xf numFmtId="9" fontId="42" fillId="0" borderId="4" xfId="0" applyNumberFormat="1" applyFont="1" applyBorder="1"/>
    <xf numFmtId="3" fontId="33" fillId="15" borderId="4" xfId="1" applyNumberFormat="1" applyFont="1" applyFill="1" applyBorder="1" applyAlignment="1">
      <alignment horizontal="center" vertical="center"/>
    </xf>
    <xf numFmtId="164" fontId="17" fillId="15" borderId="4" xfId="1" applyNumberFormat="1" applyFont="1" applyFill="1" applyBorder="1" applyAlignment="1">
      <alignment horizontal="center" vertical="center"/>
    </xf>
    <xf numFmtId="1" fontId="7" fillId="15" borderId="4" xfId="1" applyNumberFormat="1" applyFont="1" applyFill="1" applyBorder="1" applyAlignment="1">
      <alignment horizontal="center" vertical="center"/>
    </xf>
    <xf numFmtId="0" fontId="39" fillId="9" borderId="4" xfId="0" applyFont="1" applyFill="1" applyBorder="1" applyAlignment="1">
      <alignment horizontal="center" vertical="center"/>
    </xf>
    <xf numFmtId="2" fontId="8" fillId="9" borderId="4" xfId="0" applyNumberFormat="1" applyFont="1" applyFill="1" applyBorder="1" applyAlignment="1">
      <alignment horizontal="center" vertical="center" wrapText="1"/>
    </xf>
    <xf numFmtId="3" fontId="48" fillId="6" borderId="4" xfId="1" applyNumberFormat="1" applyFont="1" applyFill="1" applyBorder="1" applyAlignment="1">
      <alignment horizontal="center" vertical="center"/>
    </xf>
    <xf numFmtId="164" fontId="2" fillId="7" borderId="4" xfId="1" applyNumberFormat="1" applyFont="1" applyFill="1" applyBorder="1" applyAlignment="1">
      <alignment horizontal="center" vertical="center"/>
    </xf>
    <xf numFmtId="2" fontId="27" fillId="9" borderId="4" xfId="0" applyNumberFormat="1" applyFont="1" applyFill="1" applyBorder="1" applyAlignment="1">
      <alignment horizontal="center" vertical="center" wrapText="1"/>
    </xf>
    <xf numFmtId="164" fontId="2" fillId="5" borderId="4" xfId="1" applyNumberFormat="1" applyFont="1" applyFill="1" applyBorder="1" applyAlignment="1">
      <alignment horizontal="center" vertical="center"/>
    </xf>
    <xf numFmtId="0" fontId="48" fillId="6" borderId="4" xfId="0" applyFont="1" applyFill="1" applyBorder="1" applyAlignment="1">
      <alignment horizontal="center" vertical="center"/>
    </xf>
    <xf numFmtId="0" fontId="48" fillId="6" borderId="4" xfId="0" applyFont="1" applyFill="1" applyBorder="1"/>
    <xf numFmtId="0" fontId="48" fillId="6" borderId="4" xfId="0" applyFont="1" applyFill="1" applyBorder="1" applyAlignment="1">
      <alignment horizontal="center"/>
    </xf>
    <xf numFmtId="3" fontId="33" fillId="4" borderId="4" xfId="1" applyNumberFormat="1" applyFont="1" applyFill="1" applyBorder="1" applyAlignment="1">
      <alignment horizontal="center" vertical="center"/>
    </xf>
    <xf numFmtId="3" fontId="47" fillId="4" borderId="4" xfId="1" applyNumberFormat="1" applyFont="1" applyFill="1" applyBorder="1" applyAlignment="1">
      <alignment horizontal="center" vertical="center"/>
    </xf>
    <xf numFmtId="3" fontId="7" fillId="4" borderId="4" xfId="1" applyNumberFormat="1" applyFont="1" applyFill="1" applyBorder="1" applyAlignment="1">
      <alignment horizontal="center" vertical="center"/>
    </xf>
    <xf numFmtId="3" fontId="9" fillId="19" borderId="4" xfId="1" applyNumberFormat="1" applyFont="1" applyFill="1" applyBorder="1" applyAlignment="1">
      <alignment horizontal="center" vertical="center"/>
    </xf>
    <xf numFmtId="3" fontId="35" fillId="4" borderId="4" xfId="1" applyNumberFormat="1" applyFont="1" applyFill="1" applyBorder="1" applyAlignment="1">
      <alignment horizontal="center" vertical="center"/>
    </xf>
    <xf numFmtId="3" fontId="49" fillId="4" borderId="4" xfId="1" applyNumberFormat="1" applyFont="1" applyFill="1" applyBorder="1" applyAlignment="1">
      <alignment horizontal="center" vertical="center"/>
    </xf>
    <xf numFmtId="0" fontId="52" fillId="0" borderId="0" xfId="0" applyFont="1" applyAlignment="1">
      <alignment horizontal="center" wrapText="1"/>
    </xf>
    <xf numFmtId="0" fontId="53" fillId="0" borderId="0" xfId="0" applyFont="1" applyAlignment="1">
      <alignment horizontal="center"/>
    </xf>
    <xf numFmtId="3" fontId="54" fillId="15" borderId="4" xfId="1" applyNumberFormat="1" applyFont="1" applyFill="1" applyBorder="1" applyAlignment="1">
      <alignment horizontal="center" vertical="center"/>
    </xf>
    <xf numFmtId="3" fontId="2" fillId="5" borderId="4" xfId="1" applyNumberFormat="1" applyFont="1" applyFill="1" applyBorder="1" applyAlignment="1">
      <alignment horizontal="center" vertical="center"/>
    </xf>
    <xf numFmtId="1" fontId="54" fillId="15" borderId="4" xfId="1" applyNumberFormat="1" applyFont="1" applyFill="1" applyBorder="1" applyAlignment="1">
      <alignment horizontal="center" vertical="center"/>
    </xf>
    <xf numFmtId="1" fontId="33" fillId="15" borderId="4" xfId="1" applyNumberFormat="1" applyFont="1" applyFill="1" applyBorder="1" applyAlignment="1">
      <alignment horizontal="center" vertical="center"/>
    </xf>
    <xf numFmtId="1" fontId="48" fillId="6" borderId="4" xfId="1" applyNumberFormat="1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left" vertical="center"/>
    </xf>
    <xf numFmtId="0" fontId="7" fillId="8" borderId="5" xfId="0" applyFont="1" applyFill="1" applyBorder="1" applyAlignment="1">
      <alignment horizontal="left" vertical="center"/>
    </xf>
    <xf numFmtId="0" fontId="40" fillId="8" borderId="7" xfId="0" applyFont="1" applyFill="1" applyBorder="1" applyAlignment="1">
      <alignment horizontal="right" vertical="center"/>
    </xf>
    <xf numFmtId="0" fontId="40" fillId="8" borderId="11" xfId="0" applyFont="1" applyFill="1" applyBorder="1" applyAlignment="1">
      <alignment horizontal="right" vertical="center"/>
    </xf>
    <xf numFmtId="0" fontId="40" fillId="8" borderId="5" xfId="0" applyFont="1" applyFill="1" applyBorder="1" applyAlignment="1">
      <alignment horizontal="right" vertical="center"/>
    </xf>
    <xf numFmtId="0" fontId="7" fillId="2" borderId="7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8" fillId="9" borderId="7" xfId="0" applyFont="1" applyFill="1" applyBorder="1" applyAlignment="1">
      <alignment horizontal="left" vertical="center" wrapText="1"/>
    </xf>
    <xf numFmtId="0" fontId="18" fillId="9" borderId="11" xfId="0" applyFont="1" applyFill="1" applyBorder="1" applyAlignment="1">
      <alignment horizontal="left" vertical="center" wrapText="1"/>
    </xf>
    <xf numFmtId="0" fontId="18" fillId="9" borderId="5" xfId="0" applyFont="1" applyFill="1" applyBorder="1" applyAlignment="1">
      <alignment horizontal="left" vertical="center" wrapText="1"/>
    </xf>
    <xf numFmtId="0" fontId="18" fillId="11" borderId="7" xfId="0" applyFont="1" applyFill="1" applyBorder="1" applyAlignment="1">
      <alignment horizontal="left" vertical="center" wrapText="1"/>
    </xf>
    <xf numFmtId="0" fontId="18" fillId="11" borderId="11" xfId="0" applyFont="1" applyFill="1" applyBorder="1" applyAlignment="1">
      <alignment horizontal="left" vertical="center"/>
    </xf>
    <xf numFmtId="0" fontId="18" fillId="11" borderId="5" xfId="0" applyFont="1" applyFill="1" applyBorder="1" applyAlignment="1">
      <alignment horizontal="left" vertical="center"/>
    </xf>
    <xf numFmtId="0" fontId="18" fillId="11" borderId="11" xfId="0" applyFont="1" applyFill="1" applyBorder="1" applyAlignment="1">
      <alignment horizontal="left" vertical="center" wrapText="1"/>
    </xf>
    <xf numFmtId="0" fontId="18" fillId="11" borderId="5" xfId="0" applyFont="1" applyFill="1" applyBorder="1" applyAlignment="1">
      <alignment horizontal="left" vertical="center" wrapText="1"/>
    </xf>
    <xf numFmtId="0" fontId="25" fillId="9" borderId="14" xfId="0" applyFont="1" applyFill="1" applyBorder="1" applyAlignment="1">
      <alignment horizontal="left" vertical="center" wrapText="1"/>
    </xf>
    <xf numFmtId="0" fontId="25" fillId="9" borderId="8" xfId="0" applyFont="1" applyFill="1" applyBorder="1" applyAlignment="1">
      <alignment horizontal="left" vertical="center" wrapText="1"/>
    </xf>
    <xf numFmtId="2" fontId="18" fillId="11" borderId="9" xfId="0" applyNumberFormat="1" applyFont="1" applyFill="1" applyBorder="1" applyAlignment="1">
      <alignment horizontal="center" vertical="center" wrapText="1"/>
    </xf>
    <xf numFmtId="2" fontId="18" fillId="11" borderId="6" xfId="0" applyNumberFormat="1" applyFont="1" applyFill="1" applyBorder="1" applyAlignment="1">
      <alignment horizontal="center" vertical="center" wrapText="1"/>
    </xf>
    <xf numFmtId="0" fontId="18" fillId="9" borderId="7" xfId="0" applyFont="1" applyFill="1" applyBorder="1" applyAlignment="1">
      <alignment horizontal="center" vertical="center"/>
    </xf>
    <xf numFmtId="0" fontId="18" fillId="9" borderId="11" xfId="0" applyFont="1" applyFill="1" applyBorder="1" applyAlignment="1">
      <alignment horizontal="center" vertical="center"/>
    </xf>
    <xf numFmtId="0" fontId="18" fillId="9" borderId="5" xfId="0" applyFont="1" applyFill="1" applyBorder="1" applyAlignment="1">
      <alignment horizontal="center" vertical="center"/>
    </xf>
    <xf numFmtId="0" fontId="18" fillId="11" borderId="7" xfId="0" applyFont="1" applyFill="1" applyBorder="1" applyAlignment="1">
      <alignment horizontal="center" vertical="center"/>
    </xf>
    <xf numFmtId="0" fontId="18" fillId="11" borderId="11" xfId="0" applyFont="1" applyFill="1" applyBorder="1" applyAlignment="1">
      <alignment horizontal="center" vertical="center"/>
    </xf>
    <xf numFmtId="0" fontId="18" fillId="11" borderId="5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25" fillId="11" borderId="7" xfId="0" applyFont="1" applyFill="1" applyBorder="1" applyAlignment="1">
      <alignment horizontal="center" vertical="center"/>
    </xf>
    <xf numFmtId="0" fontId="25" fillId="11" borderId="11" xfId="0" applyFont="1" applyFill="1" applyBorder="1" applyAlignment="1">
      <alignment horizontal="center" vertical="center"/>
    </xf>
    <xf numFmtId="0" fontId="25" fillId="11" borderId="5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46" fillId="14" borderId="1" xfId="0" applyFont="1" applyFill="1" applyBorder="1" applyAlignment="1">
      <alignment horizontal="center"/>
    </xf>
    <xf numFmtId="0" fontId="46" fillId="14" borderId="10" xfId="0" applyFont="1" applyFill="1" applyBorder="1" applyAlignment="1">
      <alignment horizontal="center"/>
    </xf>
    <xf numFmtId="0" fontId="46" fillId="14" borderId="3" xfId="0" applyFont="1" applyFill="1" applyBorder="1" applyAlignment="1">
      <alignment horizontal="center"/>
    </xf>
    <xf numFmtId="0" fontId="45" fillId="17" borderId="2" xfId="0" applyFont="1" applyFill="1" applyBorder="1" applyAlignment="1">
      <alignment horizontal="center"/>
    </xf>
    <xf numFmtId="0" fontId="32" fillId="0" borderId="12" xfId="7" applyFont="1" applyBorder="1" applyAlignment="1">
      <alignment horizontal="center" vertical="center" wrapText="1"/>
    </xf>
  </cellXfs>
  <cellStyles count="8">
    <cellStyle name="Normal" xfId="0" builtinId="0"/>
    <cellStyle name="Normal 2" xfId="3" xr:uid="{00000000-0005-0000-0000-000001000000}"/>
    <cellStyle name="Normal 3" xfId="4" xr:uid="{00000000-0005-0000-0000-000002000000}"/>
    <cellStyle name="Normal 4" xfId="5" xr:uid="{00000000-0005-0000-0000-000003000000}"/>
    <cellStyle name="Normal 5" xfId="6" xr:uid="{00000000-0005-0000-0000-000004000000}"/>
    <cellStyle name="Normal 5 2" xfId="7" xr:uid="{00000000-0005-0000-0000-000005000000}"/>
    <cellStyle name="Porcentaje" xfId="1" builtinId="5"/>
    <cellStyle name="Porcentaje 3" xfId="2" xr:uid="{00000000-0005-0000-0000-000007000000}"/>
  </cellStyles>
  <dxfs count="18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</dxfs>
  <tableStyles count="0" defaultTableStyle="TableStyleMedium2" defaultPivotStyle="PivotStyleLight16"/>
  <colors>
    <mruColors>
      <color rgb="FFFFFFCC"/>
      <color rgb="FFE6E6E6"/>
      <color rgb="FFF2F2F2"/>
      <color rgb="FFF7F7F7"/>
      <color rgb="FFF0F0F0"/>
      <color rgb="FFCC0000"/>
      <color rgb="FFFF7B21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'Junio 2024'!$E$2:$I$2</c:f>
          <c:strCache>
            <c:ptCount val="5"/>
            <c:pt idx="0">
              <c:v>Meta 1: </c:v>
            </c:pt>
            <c:pt idx="1">
              <c:v>Recuperación del desarrollo psicomotor</c:v>
            </c:pt>
          </c:strCache>
        </c:strRef>
      </c:tx>
      <c:layout>
        <c:manualLayout>
          <c:xMode val="edge"/>
          <c:yMode val="edge"/>
          <c:x val="0.10372158216491353"/>
          <c:y val="1.15996283247701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'Junio 2024'!$H$41</c:f>
              <c:strCache>
                <c:ptCount val="1"/>
                <c:pt idx="0">
                  <c:v>Logro</c:v>
                </c:pt>
              </c:strCache>
            </c:strRef>
          </c:tx>
          <c:spPr>
            <a:gradFill flip="none" rotWithShape="1">
              <a:gsLst>
                <a:gs pos="0">
                  <a:schemeClr val="accent2">
                    <a:lumMod val="75000"/>
                    <a:shade val="30000"/>
                    <a:satMod val="115000"/>
                  </a:schemeClr>
                </a:gs>
                <a:gs pos="50000">
                  <a:schemeClr val="accent2">
                    <a:lumMod val="75000"/>
                    <a:shade val="67500"/>
                    <a:satMod val="115000"/>
                  </a:schemeClr>
                </a:gs>
                <a:gs pos="100000">
                  <a:schemeClr val="accent2">
                    <a:lumMod val="75000"/>
                    <a:shade val="100000"/>
                    <a:satMod val="115000"/>
                  </a:schemeClr>
                </a:gs>
              </a:gsLst>
              <a:lin ang="27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'Junio 2024'!$E$42:$E$44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2024'!$H$42:$H$44</c:f>
              <c:numCache>
                <c:formatCode>0.0%</c:formatCode>
                <c:ptCount val="3"/>
                <c:pt idx="0">
                  <c:v>0.59842519685039375</c:v>
                </c:pt>
                <c:pt idx="1">
                  <c:v>0.5625</c:v>
                </c:pt>
                <c:pt idx="2">
                  <c:v>0.55813953488372092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96-411B-96A1-468BA071134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455589840"/>
        <c:axId val="455590624"/>
      </c:barChart>
      <c:lineChart>
        <c:grouping val="standard"/>
        <c:varyColors val="0"/>
        <c:ser>
          <c:idx val="1"/>
          <c:order val="1"/>
          <c:tx>
            <c:strRef>
              <c:f>'Junio 2024'!$I$41</c:f>
              <c:strCache>
                <c:ptCount val="1"/>
                <c:pt idx="0">
                  <c:v>Meta</c:v>
                </c:pt>
              </c:strCache>
            </c:strRef>
          </c:tx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EAE-4562-9BDB-A31ACDC03B5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AE-4562-9BDB-A31ACDC03B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2024'!$E$42:$E$44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2024'!$I$42:$I$44</c:f>
              <c:numCache>
                <c:formatCode>0%</c:formatCode>
                <c:ptCount val="3"/>
                <c:pt idx="0">
                  <c:v>0.9</c:v>
                </c:pt>
                <c:pt idx="1">
                  <c:v>0.9</c:v>
                </c:pt>
                <c:pt idx="2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AE-4562-9BDB-A31ACDC03B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5589840"/>
        <c:axId val="455590624"/>
      </c:lineChart>
      <c:catAx>
        <c:axId val="45558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5590624"/>
        <c:crosses val="autoZero"/>
        <c:auto val="1"/>
        <c:lblAlgn val="ctr"/>
        <c:lblOffset val="100"/>
        <c:noMultiLvlLbl val="0"/>
      </c:catAx>
      <c:valAx>
        <c:axId val="455590624"/>
        <c:scaling>
          <c:orientation val="minMax"/>
          <c:max val="1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5589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Cumplimiento APS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094938683191809E-2"/>
          <c:y val="2.6528855875201578E-2"/>
          <c:w val="0.87649614074491211"/>
          <c:h val="0.607076690991431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'Junio 2024'!$BP$3</c:f>
              <c:strCache>
                <c:ptCount val="1"/>
                <c:pt idx="0">
                  <c:v>SUMA % CUMPLIMIMIENTO DE METAS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('Junio 2024'!$B$4:$B$20,'Junio 2024'!$B$22:$B$28,'Junio 2024'!$B$30:$B$36)</c:f>
              <c:strCache>
                <c:ptCount val="31"/>
                <c:pt idx="0">
                  <c:v>CESFAM SAN RAMON NONATO</c:v>
                </c:pt>
                <c:pt idx="1">
                  <c:v>CESFAM ULTRAESTACION</c:v>
                </c:pt>
                <c:pt idx="2">
                  <c:v>CESFAM ISABEL RIQUELME</c:v>
                </c:pt>
                <c:pt idx="3">
                  <c:v>CESFAM QUINCHAMALI</c:v>
                </c:pt>
                <c:pt idx="4">
                  <c:v>CESFAM LOS VOLCANES</c:v>
                </c:pt>
                <c:pt idx="5">
                  <c:v>CESFAM SOL DE ORIENTE</c:v>
                </c:pt>
                <c:pt idx="6">
                  <c:v>CESFAM DR. FEDERICO PUGA B.</c:v>
                </c:pt>
                <c:pt idx="7">
                  <c:v>CESFAM MICHELLE BACHELET</c:v>
                </c:pt>
                <c:pt idx="8">
                  <c:v>DESAMU EL CARMEN</c:v>
                </c:pt>
                <c:pt idx="9">
                  <c:v>CESFAM PEMUCO</c:v>
                </c:pt>
                <c:pt idx="10">
                  <c:v>CESFAM PINTO</c:v>
                </c:pt>
                <c:pt idx="11">
                  <c:v>CESFAM QUILLON</c:v>
                </c:pt>
                <c:pt idx="12">
                  <c:v>CESFAM SAN IGNACIO</c:v>
                </c:pt>
                <c:pt idx="13">
                  <c:v>CESFAM QUIRIQUINA</c:v>
                </c:pt>
                <c:pt idx="14">
                  <c:v>CGR PUEBLO SECO</c:v>
                </c:pt>
                <c:pt idx="15">
                  <c:v>CESFAM CAMPANARIO</c:v>
                </c:pt>
                <c:pt idx="16">
                  <c:v>CESFAM SANTA CLARA</c:v>
                </c:pt>
                <c:pt idx="17">
                  <c:v>CESFAM COBQUECURA</c:v>
                </c:pt>
                <c:pt idx="18">
                  <c:v>DESAMU COELEMU</c:v>
                </c:pt>
                <c:pt idx="19">
                  <c:v>CESFAM NINHUE</c:v>
                </c:pt>
                <c:pt idx="20">
                  <c:v>CESFAM PORTEZUELO</c:v>
                </c:pt>
                <c:pt idx="21">
                  <c:v>DESAMU QUIRIHUE</c:v>
                </c:pt>
                <c:pt idx="22">
                  <c:v>CESFAM ÑIPAS</c:v>
                </c:pt>
                <c:pt idx="23">
                  <c:v>CESFAM TREHUACO</c:v>
                </c:pt>
                <c:pt idx="24">
                  <c:v>CESFAM COIHUECO</c:v>
                </c:pt>
                <c:pt idx="25">
                  <c:v>CESFAM LUIS MONTECINOS</c:v>
                </c:pt>
                <c:pt idx="26">
                  <c:v>CESFAM SAN GREGORIO</c:v>
                </c:pt>
                <c:pt idx="27">
                  <c:v>CESFAM DR. JOSE DURAN TRUJILLO</c:v>
                </c:pt>
                <c:pt idx="28">
                  <c:v>CESFAM TERESA BALDECCHI</c:v>
                </c:pt>
                <c:pt idx="29">
                  <c:v>CESFAM SAN FABIAN</c:v>
                </c:pt>
                <c:pt idx="30">
                  <c:v>CESFAM SAN NICOLAS</c:v>
                </c:pt>
              </c:strCache>
            </c:strRef>
          </c:cat>
          <c:val>
            <c:numRef>
              <c:f>('Junio 2024'!$BP$4:$BP$20,'Junio 2024'!$BP$22:$BP$28,'Junio 2024'!$BP$30:$BP$36)</c:f>
              <c:numCache>
                <c:formatCode>0.0</c:formatCode>
                <c:ptCount val="31"/>
                <c:pt idx="0">
                  <c:v>92.02664993864596</c:v>
                </c:pt>
                <c:pt idx="1">
                  <c:v>90.335573041252957</c:v>
                </c:pt>
                <c:pt idx="2">
                  <c:v>77.393716625375959</c:v>
                </c:pt>
                <c:pt idx="3">
                  <c:v>96.412807661086987</c:v>
                </c:pt>
                <c:pt idx="4">
                  <c:v>82.85533696398349</c:v>
                </c:pt>
                <c:pt idx="5">
                  <c:v>86.306232954834471</c:v>
                </c:pt>
                <c:pt idx="6">
                  <c:v>81.248582740159108</c:v>
                </c:pt>
                <c:pt idx="7">
                  <c:v>92.065679706964161</c:v>
                </c:pt>
                <c:pt idx="8">
                  <c:v>96.997046490822768</c:v>
                </c:pt>
                <c:pt idx="9">
                  <c:v>81.050453758227789</c:v>
                </c:pt>
                <c:pt idx="10">
                  <c:v>88.716653661249651</c:v>
                </c:pt>
                <c:pt idx="11">
                  <c:v>82.520246269001817</c:v>
                </c:pt>
                <c:pt idx="12">
                  <c:v>89.278445004891907</c:v>
                </c:pt>
                <c:pt idx="13">
                  <c:v>85.164635122881691</c:v>
                </c:pt>
                <c:pt idx="14">
                  <c:v>80.600361665105453</c:v>
                </c:pt>
                <c:pt idx="15">
                  <c:v>94.477704903070858</c:v>
                </c:pt>
                <c:pt idx="16">
                  <c:v>89.588936103815797</c:v>
                </c:pt>
                <c:pt idx="17">
                  <c:v>88.250698932936615</c:v>
                </c:pt>
                <c:pt idx="18">
                  <c:v>82.432072708804128</c:v>
                </c:pt>
                <c:pt idx="19">
                  <c:v>79.393483038092199</c:v>
                </c:pt>
                <c:pt idx="20">
                  <c:v>89.034140837516816</c:v>
                </c:pt>
                <c:pt idx="21">
                  <c:v>99.799786657854838</c:v>
                </c:pt>
                <c:pt idx="22">
                  <c:v>87.381348179018261</c:v>
                </c:pt>
                <c:pt idx="23">
                  <c:v>92.603180753332254</c:v>
                </c:pt>
                <c:pt idx="24">
                  <c:v>88.244021550533262</c:v>
                </c:pt>
                <c:pt idx="25">
                  <c:v>94.818229752681106</c:v>
                </c:pt>
                <c:pt idx="26">
                  <c:v>89.441256292221539</c:v>
                </c:pt>
                <c:pt idx="27">
                  <c:v>88.919219339310956</c:v>
                </c:pt>
                <c:pt idx="28">
                  <c:v>92.496477592386782</c:v>
                </c:pt>
                <c:pt idx="29">
                  <c:v>93.57339931937706</c:v>
                </c:pt>
                <c:pt idx="30">
                  <c:v>92.654827994943318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39-40BA-AFC3-4936884F985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73319088"/>
        <c:axId val="372795992"/>
      </c:barChart>
      <c:lineChart>
        <c:grouping val="standard"/>
        <c:varyColors val="0"/>
        <c:ser>
          <c:idx val="1"/>
          <c:order val="1"/>
          <c:tx>
            <c:v>Meta</c:v>
          </c:tx>
          <c:spPr>
            <a:ln w="38100" cap="rnd">
              <a:solidFill>
                <a:srgbClr val="FF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39-40BA-AFC3-4936884F985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839-40BA-AFC3-4936884F985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839-40BA-AFC3-4936884F985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839-40BA-AFC3-4936884F985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839-40BA-AFC3-4936884F985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839-40BA-AFC3-4936884F9858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839-40BA-AFC3-4936884F985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839-40BA-AFC3-4936884F985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839-40BA-AFC3-4936884F985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839-40BA-AFC3-4936884F985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839-40BA-AFC3-4936884F9858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839-40BA-AFC3-4936884F9858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839-40BA-AFC3-4936884F9858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839-40BA-AFC3-4936884F985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839-40BA-AFC3-4936884F9858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839-40BA-AFC3-4936884F9858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839-40BA-AFC3-4936884F9858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839-40BA-AFC3-4936884F9858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839-40BA-AFC3-4936884F9858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839-40BA-AFC3-4936884F9858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839-40BA-AFC3-4936884F9858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839-40BA-AFC3-4936884F9858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839-40BA-AFC3-4936884F9858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839-40BA-AFC3-4936884F9858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839-40BA-AFC3-4936884F9858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839-40BA-AFC3-4936884F9858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2839-40BA-AFC3-4936884F9858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839-40BA-AFC3-4936884F9858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839-40BA-AFC3-4936884F9858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839-40BA-AFC3-4936884F9858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78E-4789-9EAE-783835EC0D15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8E-4789-9EAE-783835EC0D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(#REF!,#REF!,#REF!)</c:f>
            </c:multiLvlStrRef>
          </c:cat>
          <c:val>
            <c:numRef>
              <c:f>'Junio 2024'!$BR$4:$BR$36</c:f>
            </c:numRef>
          </c:val>
          <c:smooth val="0"/>
          <c:extLst>
            <c:ext xmlns:c16="http://schemas.microsoft.com/office/drawing/2014/chart" uri="{C3380CC4-5D6E-409C-BE32-E72D297353CC}">
              <c16:uniqueId val="{0000001F-2839-40BA-AFC3-4936884F98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319088"/>
        <c:axId val="372795992"/>
      </c:lineChart>
      <c:catAx>
        <c:axId val="37331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72795992"/>
        <c:crosses val="autoZero"/>
        <c:auto val="1"/>
        <c:lblAlgn val="ctr"/>
        <c:lblOffset val="100"/>
        <c:noMultiLvlLbl val="0"/>
      </c:catAx>
      <c:valAx>
        <c:axId val="3727959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>
                    <a:solidFill>
                      <a:schemeClr val="tx1"/>
                    </a:solidFill>
                  </a:rPr>
                  <a:t>Puntaje Final</a:t>
                </a:r>
              </a:p>
            </c:rich>
          </c:tx>
          <c:layout>
            <c:manualLayout>
              <c:xMode val="edge"/>
              <c:yMode val="edge"/>
              <c:x val="2.9198872532472858E-2"/>
              <c:y val="0.225032802985444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73319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860209719203804"/>
          <c:y val="0.95382822291056524"/>
          <c:w val="0.53026568119509809"/>
          <c:h val="4.5563129843547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'[8] 2023'!$BB$2:$BE$2</c:f>
          <c:strCache>
            <c:ptCount val="1"/>
            <c:pt idx="0">
              <c:v>#¡REF! #¡REF! #¡REF! #¡REF!</c:v>
            </c:pt>
          </c:strCache>
        </c:strRef>
      </c:tx>
      <c:layout>
        <c:manualLayout>
          <c:xMode val="edge"/>
          <c:yMode val="edge"/>
          <c:x val="0.1700280875049679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0241154543493136"/>
          <c:y val="0.20052968969256046"/>
          <c:w val="0.87265339370977635"/>
          <c:h val="0.63885025145628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'Junio 2024'!$BE$41</c:f>
              <c:strCache>
                <c:ptCount val="1"/>
                <c:pt idx="0">
                  <c:v>Logro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2.5574253578879327E-3"/>
                  <c:y val="3.579356149009612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491-469F-A03A-EFF341B1C3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2024'!$BB$42:$BB$44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2024'!$BE$42:$BE$44</c:f>
              <c:numCache>
                <c:formatCode>0.0%</c:formatCode>
                <c:ptCount val="3"/>
                <c:pt idx="0">
                  <c:v>0.15705179709679148</c:v>
                </c:pt>
                <c:pt idx="1">
                  <c:v>0.1672156558806433</c:v>
                </c:pt>
                <c:pt idx="2">
                  <c:v>0.15784923928077454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91-469F-A03A-EFF341B1C3C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372796384"/>
        <c:axId val="372796776"/>
      </c:barChart>
      <c:catAx>
        <c:axId val="37279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72796776"/>
        <c:crosses val="autoZero"/>
        <c:auto val="0"/>
        <c:lblAlgn val="ctr"/>
        <c:lblOffset val="100"/>
        <c:noMultiLvlLbl val="0"/>
      </c:catAx>
      <c:valAx>
        <c:axId val="37279677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72796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'Junio 2024'!$K$2:$N$2</c:f>
          <c:strCache>
            <c:ptCount val="4"/>
            <c:pt idx="0">
              <c:v>Meta 2: </c:v>
            </c:pt>
            <c:pt idx="1">
              <c:v>Detección precoz del cáncer de cuello uterino </c:v>
            </c:pt>
          </c:strCache>
        </c:strRef>
      </c:tx>
      <c:layout>
        <c:manualLayout>
          <c:xMode val="edge"/>
          <c:yMode val="edge"/>
          <c:x val="0.10385180320815376"/>
          <c:y val="3.864733123440793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'Junio 2024'!$N$41</c:f>
              <c:strCache>
                <c:ptCount val="1"/>
                <c:pt idx="0">
                  <c:v>Logro</c:v>
                </c:pt>
              </c:strCache>
            </c:strRef>
          </c:tx>
          <c:spPr>
            <a:gradFill flip="none" rotWithShape="1">
              <a:gsLst>
                <a:gs pos="0">
                  <a:srgbClr val="A66BD3">
                    <a:shade val="30000"/>
                    <a:satMod val="115000"/>
                  </a:srgbClr>
                </a:gs>
                <a:gs pos="50000">
                  <a:srgbClr val="A66BD3">
                    <a:shade val="67500"/>
                    <a:satMod val="115000"/>
                  </a:srgbClr>
                </a:gs>
                <a:gs pos="100000">
                  <a:srgbClr val="A66BD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'Junio 2024'!$K$42:$K$44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2024'!$N$42:$N$44</c:f>
              <c:numCache>
                <c:formatCode>0.0%</c:formatCode>
                <c:ptCount val="3"/>
                <c:pt idx="0">
                  <c:v>0.93515725667875049</c:v>
                </c:pt>
                <c:pt idx="1">
                  <c:v>0.97823249654610389</c:v>
                </c:pt>
                <c:pt idx="2">
                  <c:v>1.0025491826925512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E8-4E8F-A4F5-959044245BD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455594152"/>
        <c:axId val="455594544"/>
      </c:barChart>
      <c:lineChart>
        <c:grouping val="standard"/>
        <c:varyColors val="0"/>
        <c:ser>
          <c:idx val="1"/>
          <c:order val="1"/>
          <c:tx>
            <c:strRef>
              <c:f>'Junio 2024'!$O$41</c:f>
              <c:strCache>
                <c:ptCount val="1"/>
                <c:pt idx="0">
                  <c:v>Meta</c:v>
                </c:pt>
              </c:strCache>
            </c:strRef>
          </c:tx>
          <c:spPr>
            <a:ln w="19050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068-42A9-A596-D6B77AE5957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068-42A9-A596-D6B77AE59572}"/>
                </c:ext>
              </c:extLst>
            </c:dLbl>
            <c:dLbl>
              <c:idx val="2"/>
              <c:layout>
                <c:manualLayout>
                  <c:x val="8.2051300983830983E-2"/>
                  <c:y val="-3.542631105043896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068-42A9-A596-D6B77AE595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'Junio 2024'!$K$42:$K$44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2024'!$O$42:$O$44</c:f>
              <c:numCache>
                <c:formatCode>0%</c:formatCode>
                <c:ptCount val="3"/>
                <c:pt idx="0">
                  <c:v>0.9</c:v>
                </c:pt>
                <c:pt idx="1">
                  <c:v>0.9</c:v>
                </c:pt>
                <c:pt idx="2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68-42A9-A596-D6B77AE595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5594152"/>
        <c:axId val="455594544"/>
      </c:lineChart>
      <c:catAx>
        <c:axId val="455594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5594544"/>
        <c:crosses val="autoZero"/>
        <c:auto val="1"/>
        <c:lblAlgn val="ctr"/>
        <c:lblOffset val="100"/>
        <c:noMultiLvlLbl val="0"/>
      </c:catAx>
      <c:valAx>
        <c:axId val="455594544"/>
        <c:scaling>
          <c:orientation val="minMax"/>
          <c:max val="1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5594152"/>
        <c:crosses val="autoZero"/>
        <c:crossBetween val="between"/>
        <c:majorUnit val="0.1"/>
        <c:min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'Junio 2024'!$Q$2:$T$2</c:f>
          <c:strCache>
            <c:ptCount val="4"/>
            <c:pt idx="0">
              <c:v>Meta 3A: </c:v>
            </c:pt>
            <c:pt idx="1">
              <c:v>Control con efoque de riesgo odontológico en población de 0 a 9 años</c:v>
            </c:pt>
          </c:strCache>
        </c:strRef>
      </c:tx>
      <c:layout>
        <c:manualLayout>
          <c:xMode val="edge"/>
          <c:yMode val="edge"/>
          <c:x val="0.16338056115485389"/>
          <c:y val="3.850781314432364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5223405409345564"/>
          <c:y val="0.14046320963787251"/>
          <c:w val="0.80767482398074708"/>
          <c:h val="0.686561380139570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'Junio 2024'!$T$41</c:f>
              <c:strCache>
                <c:ptCount val="1"/>
                <c:pt idx="0">
                  <c:v>Logro</c:v>
                </c:pt>
              </c:strCache>
            </c:strRef>
          </c:tx>
          <c:spPr>
            <a:gradFill flip="none" rotWithShape="1">
              <a:gsLst>
                <a:gs pos="0">
                  <a:srgbClr val="A3C7E7">
                    <a:shade val="30000"/>
                    <a:satMod val="115000"/>
                  </a:srgbClr>
                </a:gs>
                <a:gs pos="50000">
                  <a:srgbClr val="A3C7E7">
                    <a:shade val="67500"/>
                    <a:satMod val="115000"/>
                  </a:srgbClr>
                </a:gs>
                <a:gs pos="100000">
                  <a:srgbClr val="A3C7E7">
                    <a:shade val="100000"/>
                    <a:satMod val="115000"/>
                  </a:srgbClr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85000"/>
                        <a:lumOff val="15000"/>
                      </a:schemeClr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2024'!$Q$42:$Q$44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2024'!$T$42:$T$44</c:f>
              <c:numCache>
                <c:formatCode>0.0%</c:formatCode>
                <c:ptCount val="3"/>
                <c:pt idx="0">
                  <c:v>0.26707999516888764</c:v>
                </c:pt>
                <c:pt idx="1">
                  <c:v>0.37390158172231985</c:v>
                </c:pt>
                <c:pt idx="2">
                  <c:v>0.34444790692843047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2B-48CC-B3DC-8655498DB1F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455592192"/>
        <c:axId val="458525384"/>
      </c:barChart>
      <c:lineChart>
        <c:grouping val="standard"/>
        <c:varyColors val="0"/>
        <c:ser>
          <c:idx val="1"/>
          <c:order val="1"/>
          <c:tx>
            <c:strRef>
              <c:f>'Junio 2024'!$U$41</c:f>
              <c:strCache>
                <c:ptCount val="1"/>
                <c:pt idx="0">
                  <c:v>Meta</c:v>
                </c:pt>
              </c:strCache>
            </c:strRef>
          </c:tx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DD9-46CF-A155-BBA6A0F1EAA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D9-46CF-A155-BBA6A0F1EAA7}"/>
                </c:ext>
              </c:extLst>
            </c:dLbl>
            <c:dLbl>
              <c:idx val="2"/>
              <c:layout>
                <c:manualLayout>
                  <c:x val="7.6441507717935606E-2"/>
                  <c:y val="-7.05968418905182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DD9-46CF-A155-BBA6A0F1EA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2024'!$Q$42:$Q$44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2024'!$U$42:$U$44</c:f>
              <c:numCache>
                <c:formatCode>0%</c:formatCode>
                <c:ptCount val="3"/>
                <c:pt idx="0">
                  <c:v>0.35</c:v>
                </c:pt>
                <c:pt idx="1">
                  <c:v>0.35</c:v>
                </c:pt>
                <c:pt idx="2">
                  <c:v>0.35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D9-46CF-A155-BBA6A0F1EA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5592192"/>
        <c:axId val="458525384"/>
      </c:lineChart>
      <c:catAx>
        <c:axId val="45559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8525384"/>
        <c:crosses val="autoZero"/>
        <c:auto val="1"/>
        <c:lblAlgn val="ctr"/>
        <c:lblOffset val="100"/>
        <c:noMultiLvlLbl val="0"/>
      </c:catAx>
      <c:valAx>
        <c:axId val="458525384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559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'Junio 2024'!$W$2:$Z$2</c:f>
          <c:strCache>
            <c:ptCount val="4"/>
            <c:pt idx="0">
              <c:v>Meta 3B: </c:v>
            </c:pt>
            <c:pt idx="1">
              <c:v>Niños y niñas de 6 años libres de caries</c:v>
            </c:pt>
          </c:strCache>
        </c:strRef>
      </c:tx>
      <c:layout>
        <c:manualLayout>
          <c:xMode val="edge"/>
          <c:yMode val="edge"/>
          <c:x val="0.20563001527054325"/>
          <c:y val="1.871505192285746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'Junio 2024'!$Z$41</c:f>
              <c:strCache>
                <c:ptCount val="1"/>
                <c:pt idx="0">
                  <c:v>Logro</c:v>
                </c:pt>
              </c:strCache>
            </c:strRef>
          </c:tx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54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2024'!$W$42:$W$44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2024'!$Z$42:$Z$44</c:f>
              <c:numCache>
                <c:formatCode>0.0%</c:formatCode>
                <c:ptCount val="3"/>
                <c:pt idx="0">
                  <c:v>0.14514285714285713</c:v>
                </c:pt>
                <c:pt idx="1">
                  <c:v>0.25925925925925924</c:v>
                </c:pt>
                <c:pt idx="2">
                  <c:v>0.19907940161104717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D0-4532-BA89-50391BAC755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458523816"/>
        <c:axId val="458518720"/>
      </c:barChart>
      <c:lineChart>
        <c:grouping val="standard"/>
        <c:varyColors val="0"/>
        <c:ser>
          <c:idx val="1"/>
          <c:order val="1"/>
          <c:tx>
            <c:strRef>
              <c:f>'Junio 2024'!$AA$41</c:f>
              <c:strCache>
                <c:ptCount val="1"/>
                <c:pt idx="0">
                  <c:v>Meta</c:v>
                </c:pt>
              </c:strCache>
            </c:strRef>
          </c:tx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14-429D-9744-763C4C46E87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F14-429D-9744-763C4C46E87F}"/>
                </c:ext>
              </c:extLst>
            </c:dLbl>
            <c:dLbl>
              <c:idx val="2"/>
              <c:layout>
                <c:manualLayout>
                  <c:x val="8.2562277580071175E-2"/>
                  <c:y val="-1.4170528732404862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F14-429D-9744-763C4C46E8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2024'!$W$42:$W$44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2024'!$AA$42:$AA$44</c:f>
              <c:numCache>
                <c:formatCode>0%</c:formatCode>
                <c:ptCount val="3"/>
                <c:pt idx="0">
                  <c:v>0.11</c:v>
                </c:pt>
                <c:pt idx="1">
                  <c:v>0.11</c:v>
                </c:pt>
                <c:pt idx="2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14-429D-9744-763C4C46E8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8523816"/>
        <c:axId val="458518720"/>
      </c:lineChart>
      <c:catAx>
        <c:axId val="458523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8518720"/>
        <c:crosses val="autoZero"/>
        <c:auto val="1"/>
        <c:lblAlgn val="ctr"/>
        <c:lblOffset val="100"/>
        <c:noMultiLvlLbl val="0"/>
      </c:catAx>
      <c:valAx>
        <c:axId val="458518720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8523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'Junio 2024'!$AD$2:$AG$2</c:f>
          <c:strCache>
            <c:ptCount val="4"/>
            <c:pt idx="0">
              <c:v>Meta 4A: </c:v>
            </c:pt>
            <c:pt idx="1">
              <c:v>Cobertura efectiva de diabetes tipo 2 (DM2) en personas de 15 y más años.</c:v>
            </c:pt>
          </c:strCache>
        </c:strRef>
      </c:tx>
      <c:layout>
        <c:manualLayout>
          <c:xMode val="edge"/>
          <c:yMode val="edge"/>
          <c:x val="0.1470246227325017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8.6331308706388388E-2"/>
          <c:y val="0.16893580889952545"/>
          <c:w val="0.88650819218590304"/>
          <c:h val="0.66868241421900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'Junio 2024'!$AG$41</c:f>
              <c:strCache>
                <c:ptCount val="1"/>
                <c:pt idx="0">
                  <c:v>Logro</c:v>
                </c:pt>
              </c:strCache>
            </c:strRef>
          </c:tx>
          <c:spPr>
            <a:solidFill>
              <a:srgbClr val="00918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2024'!$AD$42:$AD$44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2024'!$AG$42:$AG$44</c:f>
              <c:numCache>
                <c:formatCode>0.0%</c:formatCode>
                <c:ptCount val="3"/>
                <c:pt idx="0">
                  <c:v>0.28380484792295779</c:v>
                </c:pt>
                <c:pt idx="1">
                  <c:v>0.33015083824876962</c:v>
                </c:pt>
                <c:pt idx="2">
                  <c:v>0.33424888137394571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FFB-B5BF-38CFB754152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458524600"/>
        <c:axId val="458519504"/>
      </c:barChart>
      <c:lineChart>
        <c:grouping val="standard"/>
        <c:varyColors val="0"/>
        <c:ser>
          <c:idx val="1"/>
          <c:order val="1"/>
          <c:tx>
            <c:strRef>
              <c:f>'Junio 2024'!$AH$41</c:f>
              <c:strCache>
                <c:ptCount val="1"/>
                <c:pt idx="0">
                  <c:v>Meta</c:v>
                </c:pt>
              </c:strCache>
            </c:strRef>
          </c:tx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39E-404B-B91F-A71EC7B9B15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39E-404B-B91F-A71EC7B9B158}"/>
                </c:ext>
              </c:extLst>
            </c:dLbl>
            <c:dLbl>
              <c:idx val="2"/>
              <c:layout>
                <c:manualLayout>
                  <c:x val="8.620979609405971E-2"/>
                  <c:y val="-7.136978342791946E-1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39E-404B-B91F-A71EC7B9B1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2024'!$AD$42:$AD$44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2024'!$AH$42:$AH$44</c:f>
              <c:numCache>
                <c:formatCode>0%</c:formatCode>
                <c:ptCount val="3"/>
                <c:pt idx="0">
                  <c:v>0.28000000000000003</c:v>
                </c:pt>
                <c:pt idx="1">
                  <c:v>0.28000000000000003</c:v>
                </c:pt>
                <c:pt idx="2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39E-404B-B91F-A71EC7B9B1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8524600"/>
        <c:axId val="458519504"/>
      </c:lineChart>
      <c:catAx>
        <c:axId val="458524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8519504"/>
        <c:crosses val="autoZero"/>
        <c:auto val="0"/>
        <c:lblAlgn val="ctr"/>
        <c:lblOffset val="100"/>
        <c:noMultiLvlLbl val="0"/>
      </c:catAx>
      <c:valAx>
        <c:axId val="458519504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8524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'Junio 2024'!$AV$2:$AY$2</c:f>
          <c:strCache>
            <c:ptCount val="4"/>
            <c:pt idx="0">
              <c:v>Meta 6: </c:v>
            </c:pt>
            <c:pt idx="1">
              <c:v>Lactancia materna exclusiva (LME) en niños y niñas al sexto mes de vida </c:v>
            </c:pt>
          </c:strCache>
        </c:strRef>
      </c:tx>
      <c:layout>
        <c:manualLayout>
          <c:xMode val="edge"/>
          <c:yMode val="edge"/>
          <c:x val="0.1700280875049679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'Junio 2024'!$AY$41</c:f>
              <c:strCache>
                <c:ptCount val="1"/>
                <c:pt idx="0">
                  <c:v>Logro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1.6410253229589521E-2"/>
                  <c:y val="0.1150776496427887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1D-42EF-9AAB-FED5BD094C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2024'!$AV$42:$AV$44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2024'!$AY$42:$AY$44</c:f>
              <c:numCache>
                <c:formatCode>0.0%</c:formatCode>
                <c:ptCount val="3"/>
                <c:pt idx="0">
                  <c:v>0.58524173027989823</c:v>
                </c:pt>
                <c:pt idx="1">
                  <c:v>0.65853658536585369</c:v>
                </c:pt>
                <c:pt idx="2">
                  <c:v>0.61756373937677056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1D-42EF-9AAB-FED5BD094CE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458521072"/>
        <c:axId val="458520288"/>
      </c:barChart>
      <c:lineChart>
        <c:grouping val="standard"/>
        <c:varyColors val="0"/>
        <c:ser>
          <c:idx val="1"/>
          <c:order val="1"/>
          <c:tx>
            <c:strRef>
              <c:f>'Junio 2024'!$AZ$41</c:f>
              <c:strCache>
                <c:ptCount val="1"/>
                <c:pt idx="0">
                  <c:v>Meta</c:v>
                </c:pt>
              </c:strCache>
            </c:strRef>
          </c:tx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D9-4318-87C2-04325EC5199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6D9-4318-87C2-04325EC5199E}"/>
                </c:ext>
              </c:extLst>
            </c:dLbl>
            <c:dLbl>
              <c:idx val="2"/>
              <c:layout>
                <c:manualLayout>
                  <c:x val="8.2051277776191547E-2"/>
                  <c:y val="-6.813701218545859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D9-4318-87C2-04325EC519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2024'!$AV$42:$AV$44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2024'!$AZ$42:$AZ$44</c:f>
              <c:numCache>
                <c:formatCode>0%</c:formatCode>
                <c:ptCount val="3"/>
                <c:pt idx="0">
                  <c:v>0.6</c:v>
                </c:pt>
                <c:pt idx="1">
                  <c:v>0.6</c:v>
                </c:pt>
                <c:pt idx="2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D9-4318-87C2-04325EC51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8521072"/>
        <c:axId val="458520288"/>
      </c:lineChart>
      <c:catAx>
        <c:axId val="458521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8520288"/>
        <c:crosses val="autoZero"/>
        <c:auto val="0"/>
        <c:lblAlgn val="ctr"/>
        <c:lblOffset val="100"/>
        <c:noMultiLvlLbl val="0"/>
      </c:catAx>
      <c:valAx>
        <c:axId val="458520288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852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'Junio 2024'!$BI$2:$BL$2</c:f>
          <c:strCache>
            <c:ptCount val="4"/>
            <c:pt idx="0">
              <c:v>Meta 8: </c:v>
            </c:pt>
            <c:pt idx="1">
              <c:v>Establecimientos con plan de participación social en salud</c:v>
            </c:pt>
          </c:strCache>
        </c:strRef>
      </c:tx>
      <c:layout>
        <c:manualLayout>
          <c:xMode val="edge"/>
          <c:yMode val="edge"/>
          <c:x val="0.1521633566327292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9.5092330432574812E-2"/>
          <c:y val="0.18780265373902608"/>
          <c:w val="0.87048849035314435"/>
          <c:h val="0.653610841055966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'Junio 2024'!$BL$41</c:f>
              <c:strCache>
                <c:ptCount val="1"/>
                <c:pt idx="0">
                  <c:v>Logro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85000"/>
                        <a:lumOff val="15000"/>
                      </a:schemeClr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2024'!$BI$42:$BI$44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2024'!$BL$42:$BL$44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A5-4032-84C7-8E45DC182C5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70"/>
        <c:axId val="458520680"/>
        <c:axId val="458522248"/>
      </c:barChart>
      <c:lineChart>
        <c:grouping val="standard"/>
        <c:varyColors val="0"/>
        <c:ser>
          <c:idx val="1"/>
          <c:order val="1"/>
          <c:tx>
            <c:strRef>
              <c:f>'Junio 2024'!$BM$41</c:f>
              <c:strCache>
                <c:ptCount val="1"/>
                <c:pt idx="0">
                  <c:v>Meta</c:v>
                </c:pt>
              </c:strCache>
            </c:strRef>
          </c:tx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26-4A80-8E60-DA0C38A625A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26-4A80-8E60-DA0C38A625A3}"/>
                </c:ext>
              </c:extLst>
            </c:dLbl>
            <c:dLbl>
              <c:idx val="2"/>
              <c:layout>
                <c:manualLayout>
                  <c:x val="7.969997935840074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26-4A80-8E60-DA0C38A625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2024'!$BI$42:$BI$44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2024'!$BM$42:$BM$44</c:f>
              <c:numCache>
                <c:formatCode>0%</c:formatCode>
                <c:ptCount val="3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26-4A80-8E60-DA0C38A625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8520680"/>
        <c:axId val="458522248"/>
      </c:lineChart>
      <c:catAx>
        <c:axId val="458520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8522248"/>
        <c:crosses val="autoZero"/>
        <c:auto val="1"/>
        <c:lblAlgn val="ctr"/>
        <c:lblOffset val="100"/>
        <c:noMultiLvlLbl val="0"/>
      </c:catAx>
      <c:valAx>
        <c:axId val="458522248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58520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'Junio 2024'!$AJ$40:$AN$40</c:f>
          <c:strCache>
            <c:ptCount val="5"/>
            <c:pt idx="0">
              <c:v>Meta 4B ≥ 90%</c:v>
            </c:pt>
          </c:strCache>
        </c:strRef>
      </c:tx>
      <c:layout>
        <c:manualLayout>
          <c:xMode val="edge"/>
          <c:yMode val="edge"/>
          <c:x val="0.39668089335576334"/>
          <c:y val="4.060177586413047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12653698861608"/>
          <c:y val="0.12580476236451954"/>
          <c:w val="0.85943268754396862"/>
          <c:h val="0.718520995593908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'Junio 2024'!$AM$41</c:f>
              <c:strCache>
                <c:ptCount val="1"/>
                <c:pt idx="0">
                  <c:v>Logro</c:v>
                </c:pt>
              </c:strCache>
            </c:strRef>
          </c:tx>
          <c:spPr>
            <a:solidFill>
              <a:srgbClr val="00918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2024'!$AJ$42:$AJ$44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2024'!$AM$42:$AM$44</c:f>
              <c:numCache>
                <c:formatCode>0.0%</c:formatCode>
                <c:ptCount val="3"/>
                <c:pt idx="0">
                  <c:v>0.80702182723765814</c:v>
                </c:pt>
                <c:pt idx="1">
                  <c:v>0.87607066381156318</c:v>
                </c:pt>
                <c:pt idx="2">
                  <c:v>0.88884622768285659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F-4804-9FC6-FE8D155BED5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373319480"/>
        <c:axId val="373317128"/>
      </c:barChart>
      <c:lineChart>
        <c:grouping val="standard"/>
        <c:varyColors val="0"/>
        <c:ser>
          <c:idx val="1"/>
          <c:order val="1"/>
          <c:tx>
            <c:strRef>
              <c:f>'Junio 2024'!$AN$41</c:f>
              <c:strCache>
                <c:ptCount val="1"/>
                <c:pt idx="0">
                  <c:v>Meta</c:v>
                </c:pt>
              </c:strCache>
            </c:strRef>
          </c:tx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334-43B5-AF2C-C326C0BA59E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334-43B5-AF2C-C326C0BA59EE}"/>
                </c:ext>
              </c:extLst>
            </c:dLbl>
            <c:dLbl>
              <c:idx val="2"/>
              <c:layout>
                <c:manualLayout>
                  <c:x val="8.8573518467451109E-2"/>
                  <c:y val="-3.897007313179157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334-43B5-AF2C-C326C0BA59E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2024'!$AJ$42:$AJ$44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2024'!$AN$42:$AN$44</c:f>
              <c:numCache>
                <c:formatCode>0%</c:formatCode>
                <c:ptCount val="3"/>
                <c:pt idx="0">
                  <c:v>0.9</c:v>
                </c:pt>
                <c:pt idx="1">
                  <c:v>0.9</c:v>
                </c:pt>
                <c:pt idx="2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334-43B5-AF2C-C326C0BA5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319480"/>
        <c:axId val="373317128"/>
      </c:lineChart>
      <c:catAx>
        <c:axId val="373319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73317128"/>
        <c:crosses val="autoZero"/>
        <c:auto val="1"/>
        <c:lblAlgn val="ctr"/>
        <c:lblOffset val="100"/>
        <c:noMultiLvlLbl val="0"/>
      </c:catAx>
      <c:valAx>
        <c:axId val="373317128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73319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'Junio 2024'!$AP$40:$AS$40</c:f>
          <c:strCache>
            <c:ptCount val="4"/>
            <c:pt idx="0">
              <c:v>Meta 5  ≥ 43%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9.2162162068250203E-2"/>
          <c:y val="0.1157418437163041"/>
          <c:w val="0.88356676075111429"/>
          <c:h val="0.74103604406490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'Junio 2024'!$AS$41</c:f>
              <c:strCache>
                <c:ptCount val="1"/>
                <c:pt idx="0">
                  <c:v>Logro</c:v>
                </c:pt>
              </c:strCache>
            </c:strRef>
          </c:tx>
          <c:spPr>
            <a:gradFill flip="none" rotWithShape="1">
              <a:gsLst>
                <a:gs pos="0">
                  <a:srgbClr val="00918E">
                    <a:shade val="30000"/>
                    <a:satMod val="115000"/>
                  </a:srgbClr>
                </a:gs>
                <a:gs pos="50000">
                  <a:srgbClr val="00918E">
                    <a:shade val="67500"/>
                    <a:satMod val="115000"/>
                  </a:srgbClr>
                </a:gs>
                <a:gs pos="100000">
                  <a:srgbClr val="00918E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2024'!$AP$42:$AP$44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2024'!$AS$42:$AS$44</c:f>
              <c:numCache>
                <c:formatCode>0.0%</c:formatCode>
                <c:ptCount val="3"/>
                <c:pt idx="0">
                  <c:v>0.35014788360342214</c:v>
                </c:pt>
                <c:pt idx="1">
                  <c:v>0.43547018390084596</c:v>
                </c:pt>
                <c:pt idx="2">
                  <c:v>0.36687665326818647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2C-421A-86BF-62C5B6E49D0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373318304"/>
        <c:axId val="373318696"/>
      </c:barChart>
      <c:lineChart>
        <c:grouping val="standard"/>
        <c:varyColors val="0"/>
        <c:ser>
          <c:idx val="1"/>
          <c:order val="1"/>
          <c:tx>
            <c:strRef>
              <c:f>'Junio 2024'!$AT$41</c:f>
              <c:strCache>
                <c:ptCount val="1"/>
                <c:pt idx="0">
                  <c:v>Meta</c:v>
                </c:pt>
              </c:strCache>
            </c:strRef>
          </c:tx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AE-4A87-A52E-12C607F2FCB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AE-4A87-A52E-12C607F2FCBD}"/>
                </c:ext>
              </c:extLst>
            </c:dLbl>
            <c:dLbl>
              <c:idx val="2"/>
              <c:layout>
                <c:manualLayout>
                  <c:x val="8.145144168808556E-2"/>
                  <c:y val="-3.735410574564971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AE-4A87-A52E-12C607F2FCB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2024'!$AP$42:$AP$44</c:f>
              <c:strCache>
                <c:ptCount val="3"/>
                <c:pt idx="0">
                  <c:v>DIGUILLÍN</c:v>
                </c:pt>
                <c:pt idx="1">
                  <c:v>ITATA</c:v>
                </c:pt>
                <c:pt idx="2">
                  <c:v>PUNILLA</c:v>
                </c:pt>
              </c:strCache>
            </c:strRef>
          </c:cat>
          <c:val>
            <c:numRef>
              <c:f>'Junio 2024'!$AT$42:$AT$44</c:f>
              <c:numCache>
                <c:formatCode>0%</c:formatCode>
                <c:ptCount val="3"/>
                <c:pt idx="0">
                  <c:v>0.43</c:v>
                </c:pt>
                <c:pt idx="1">
                  <c:v>0.43</c:v>
                </c:pt>
                <c:pt idx="2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AE-4A87-A52E-12C607F2F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318304"/>
        <c:axId val="373318696"/>
      </c:lineChart>
      <c:catAx>
        <c:axId val="37331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73318696"/>
        <c:crosses val="autoZero"/>
        <c:auto val="1"/>
        <c:lblAlgn val="ctr"/>
        <c:lblOffset val="100"/>
        <c:noMultiLvlLbl val="0"/>
      </c:catAx>
      <c:valAx>
        <c:axId val="37331869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73318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78641</xdr:colOff>
      <xdr:row>0</xdr:row>
      <xdr:rowOff>39221</xdr:rowOff>
    </xdr:from>
    <xdr:to>
      <xdr:col>23</xdr:col>
      <xdr:colOff>669532</xdr:colOff>
      <xdr:row>61</xdr:row>
      <xdr:rowOff>52828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560709A-6518-48FF-AB58-D29F50644465}"/>
            </a:ext>
          </a:extLst>
        </xdr:cNvPr>
        <xdr:cNvGrpSpPr/>
      </xdr:nvGrpSpPr>
      <xdr:grpSpPr>
        <a:xfrm>
          <a:off x="2768053" y="39221"/>
          <a:ext cx="14878391" cy="10449085"/>
          <a:chOff x="11058530" y="732114"/>
          <a:chExt cx="10865730" cy="7906248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2A68B407-6634-3E00-947C-DD1AFF9C4D08}"/>
              </a:ext>
            </a:extLst>
          </xdr:cNvPr>
          <xdr:cNvPicPr/>
        </xdr:nvPicPr>
        <xdr:blipFill rotWithShape="1">
          <a:blip xmlns:r="http://schemas.openxmlformats.org/officeDocument/2006/relationships" r:embed="rId1">
            <a:extLst>
              <a:ext uri="{BEBA8EAE-BF5A-486C-A8C5-ECC9F3942E4B}">
                <a14:imgProps xmlns:a14="http://schemas.microsoft.com/office/drawing/2010/main">
                  <a14:imgLayer r:embed="rId2">
                    <a14:imgEffect>
                      <a14:backgroundRemoval t="20833" b="73568" l="21816" r="68814">
                        <a14:foregroundMark x1="26281" y1="20833" x2="26281" y2="20833"/>
                        <a14:foregroundMark x1="40996" y1="73177" x2="40996" y2="73177"/>
                        <a14:foregroundMark x1="26354" y1="49479" x2="26354" y2="49479"/>
                        <a14:foregroundMark x1="21816" y1="38542" x2="21816" y2="38542"/>
                      </a14:backgroundRemoval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 l="18412" t="19000" r="37738" b="24090"/>
          <a:stretch/>
        </xdr:blipFill>
        <xdr:spPr bwMode="auto">
          <a:xfrm>
            <a:off x="11058530" y="732114"/>
            <a:ext cx="10865730" cy="7906248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sp macro="" textlink="">
        <xdr:nvSpPr>
          <xdr:cNvPr id="4" name="Forma libre: forma 3">
            <a:extLst>
              <a:ext uri="{FF2B5EF4-FFF2-40B4-BE49-F238E27FC236}">
                <a16:creationId xmlns:a16="http://schemas.microsoft.com/office/drawing/2014/main" id="{2539677A-C357-6181-3BDD-10C040F9677A}"/>
              </a:ext>
            </a:extLst>
          </xdr:cNvPr>
          <xdr:cNvSpPr/>
        </xdr:nvSpPr>
        <xdr:spPr>
          <a:xfrm>
            <a:off x="12168188" y="1285875"/>
            <a:ext cx="1365250" cy="1755539"/>
          </a:xfrm>
          <a:custGeom>
            <a:avLst/>
            <a:gdLst>
              <a:gd name="connsiteX0" fmla="*/ 1309687 w 1365250"/>
              <a:gd name="connsiteY0" fmla="*/ 0 h 1755539"/>
              <a:gd name="connsiteX1" fmla="*/ 1333500 w 1365250"/>
              <a:gd name="connsiteY1" fmla="*/ 39688 h 1755539"/>
              <a:gd name="connsiteX2" fmla="*/ 1341437 w 1365250"/>
              <a:gd name="connsiteY2" fmla="*/ 71438 h 1755539"/>
              <a:gd name="connsiteX3" fmla="*/ 1365250 w 1365250"/>
              <a:gd name="connsiteY3" fmla="*/ 103188 h 1755539"/>
              <a:gd name="connsiteX4" fmla="*/ 1031875 w 1365250"/>
              <a:gd name="connsiteY4" fmla="*/ 142875 h 1755539"/>
              <a:gd name="connsiteX5" fmla="*/ 1000125 w 1365250"/>
              <a:gd name="connsiteY5" fmla="*/ 190500 h 1755539"/>
              <a:gd name="connsiteX6" fmla="*/ 968375 w 1365250"/>
              <a:gd name="connsiteY6" fmla="*/ 230188 h 1755539"/>
              <a:gd name="connsiteX7" fmla="*/ 849312 w 1365250"/>
              <a:gd name="connsiteY7" fmla="*/ 269875 h 1755539"/>
              <a:gd name="connsiteX8" fmla="*/ 801687 w 1365250"/>
              <a:gd name="connsiteY8" fmla="*/ 301625 h 1755539"/>
              <a:gd name="connsiteX9" fmla="*/ 635000 w 1365250"/>
              <a:gd name="connsiteY9" fmla="*/ 309563 h 1755539"/>
              <a:gd name="connsiteX10" fmla="*/ 627062 w 1365250"/>
              <a:gd name="connsiteY10" fmla="*/ 333375 h 1755539"/>
              <a:gd name="connsiteX11" fmla="*/ 658812 w 1365250"/>
              <a:gd name="connsiteY11" fmla="*/ 404813 h 1755539"/>
              <a:gd name="connsiteX12" fmla="*/ 698500 w 1365250"/>
              <a:gd name="connsiteY12" fmla="*/ 523875 h 1755539"/>
              <a:gd name="connsiteX13" fmla="*/ 722312 w 1365250"/>
              <a:gd name="connsiteY13" fmla="*/ 531813 h 1755539"/>
              <a:gd name="connsiteX14" fmla="*/ 762000 w 1365250"/>
              <a:gd name="connsiteY14" fmla="*/ 563563 h 1755539"/>
              <a:gd name="connsiteX15" fmla="*/ 801687 w 1365250"/>
              <a:gd name="connsiteY15" fmla="*/ 627063 h 1755539"/>
              <a:gd name="connsiteX16" fmla="*/ 809625 w 1365250"/>
              <a:gd name="connsiteY16" fmla="*/ 658813 h 1755539"/>
              <a:gd name="connsiteX17" fmla="*/ 865187 w 1365250"/>
              <a:gd name="connsiteY17" fmla="*/ 698500 h 1755539"/>
              <a:gd name="connsiteX18" fmla="*/ 904875 w 1365250"/>
              <a:gd name="connsiteY18" fmla="*/ 730250 h 1755539"/>
              <a:gd name="connsiteX19" fmla="*/ 928687 w 1365250"/>
              <a:gd name="connsiteY19" fmla="*/ 769938 h 1755539"/>
              <a:gd name="connsiteX20" fmla="*/ 944562 w 1365250"/>
              <a:gd name="connsiteY20" fmla="*/ 912813 h 1755539"/>
              <a:gd name="connsiteX21" fmla="*/ 952500 w 1365250"/>
              <a:gd name="connsiteY21" fmla="*/ 944563 h 1755539"/>
              <a:gd name="connsiteX22" fmla="*/ 976312 w 1365250"/>
              <a:gd name="connsiteY22" fmla="*/ 976313 h 1755539"/>
              <a:gd name="connsiteX23" fmla="*/ 984250 w 1365250"/>
              <a:gd name="connsiteY23" fmla="*/ 1008063 h 1755539"/>
              <a:gd name="connsiteX24" fmla="*/ 1031875 w 1365250"/>
              <a:gd name="connsiteY24" fmla="*/ 1087438 h 1755539"/>
              <a:gd name="connsiteX25" fmla="*/ 1047750 w 1365250"/>
              <a:gd name="connsiteY25" fmla="*/ 1341438 h 1755539"/>
              <a:gd name="connsiteX26" fmla="*/ 1031875 w 1365250"/>
              <a:gd name="connsiteY26" fmla="*/ 1397000 h 1755539"/>
              <a:gd name="connsiteX27" fmla="*/ 960437 w 1365250"/>
              <a:gd name="connsiteY27" fmla="*/ 1420813 h 1755539"/>
              <a:gd name="connsiteX28" fmla="*/ 920750 w 1365250"/>
              <a:gd name="connsiteY28" fmla="*/ 1444625 h 1755539"/>
              <a:gd name="connsiteX29" fmla="*/ 833437 w 1365250"/>
              <a:gd name="connsiteY29" fmla="*/ 1476375 h 1755539"/>
              <a:gd name="connsiteX30" fmla="*/ 817562 w 1365250"/>
              <a:gd name="connsiteY30" fmla="*/ 1524000 h 1755539"/>
              <a:gd name="connsiteX31" fmla="*/ 801687 w 1365250"/>
              <a:gd name="connsiteY31" fmla="*/ 1555750 h 1755539"/>
              <a:gd name="connsiteX32" fmla="*/ 722312 w 1365250"/>
              <a:gd name="connsiteY32" fmla="*/ 1579563 h 1755539"/>
              <a:gd name="connsiteX33" fmla="*/ 682625 w 1365250"/>
              <a:gd name="connsiteY33" fmla="*/ 1595438 h 1755539"/>
              <a:gd name="connsiteX34" fmla="*/ 658812 w 1365250"/>
              <a:gd name="connsiteY34" fmla="*/ 1619250 h 1755539"/>
              <a:gd name="connsiteX35" fmla="*/ 627062 w 1365250"/>
              <a:gd name="connsiteY35" fmla="*/ 1666875 h 1755539"/>
              <a:gd name="connsiteX36" fmla="*/ 555625 w 1365250"/>
              <a:gd name="connsiteY36" fmla="*/ 1690688 h 1755539"/>
              <a:gd name="connsiteX37" fmla="*/ 531812 w 1365250"/>
              <a:gd name="connsiteY37" fmla="*/ 1714500 h 1755539"/>
              <a:gd name="connsiteX38" fmla="*/ 484187 w 1365250"/>
              <a:gd name="connsiteY38" fmla="*/ 1746250 h 1755539"/>
              <a:gd name="connsiteX39" fmla="*/ 420687 w 1365250"/>
              <a:gd name="connsiteY39" fmla="*/ 1730375 h 1755539"/>
              <a:gd name="connsiteX40" fmla="*/ 349250 w 1365250"/>
              <a:gd name="connsiteY40" fmla="*/ 1706563 h 1755539"/>
              <a:gd name="connsiteX41" fmla="*/ 301625 w 1365250"/>
              <a:gd name="connsiteY41" fmla="*/ 1674813 h 1755539"/>
              <a:gd name="connsiteX42" fmla="*/ 269875 w 1365250"/>
              <a:gd name="connsiteY42" fmla="*/ 1658938 h 1755539"/>
              <a:gd name="connsiteX43" fmla="*/ 246062 w 1365250"/>
              <a:gd name="connsiteY43" fmla="*/ 1635125 h 1755539"/>
              <a:gd name="connsiteX44" fmla="*/ 142875 w 1365250"/>
              <a:gd name="connsiteY44" fmla="*/ 1611313 h 1755539"/>
              <a:gd name="connsiteX45" fmla="*/ 71437 w 1365250"/>
              <a:gd name="connsiteY45" fmla="*/ 1619250 h 1755539"/>
              <a:gd name="connsiteX46" fmla="*/ 111125 w 1365250"/>
              <a:gd name="connsiteY46" fmla="*/ 1674813 h 1755539"/>
              <a:gd name="connsiteX47" fmla="*/ 31750 w 1365250"/>
              <a:gd name="connsiteY47" fmla="*/ 1754188 h 1755539"/>
              <a:gd name="connsiteX48" fmla="*/ 0 w 1365250"/>
              <a:gd name="connsiteY48" fmla="*/ 1754188 h 175553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</a:cxnLst>
            <a:rect l="l" t="t" r="r" b="b"/>
            <a:pathLst>
              <a:path w="1365250" h="1755539">
                <a:moveTo>
                  <a:pt x="1309687" y="0"/>
                </a:moveTo>
                <a:cubicBezTo>
                  <a:pt x="1317625" y="13229"/>
                  <a:pt x="1327234" y="25590"/>
                  <a:pt x="1333500" y="39688"/>
                </a:cubicBezTo>
                <a:cubicBezTo>
                  <a:pt x="1337931" y="49657"/>
                  <a:pt x="1336558" y="61681"/>
                  <a:pt x="1341437" y="71438"/>
                </a:cubicBezTo>
                <a:cubicBezTo>
                  <a:pt x="1347353" y="83271"/>
                  <a:pt x="1357312" y="92605"/>
                  <a:pt x="1365250" y="103188"/>
                </a:cubicBezTo>
                <a:cubicBezTo>
                  <a:pt x="1254447" y="213991"/>
                  <a:pt x="1401782" y="81224"/>
                  <a:pt x="1031875" y="142875"/>
                </a:cubicBezTo>
                <a:cubicBezTo>
                  <a:pt x="1013055" y="146012"/>
                  <a:pt x="1009391" y="173822"/>
                  <a:pt x="1000125" y="190500"/>
                </a:cubicBezTo>
                <a:cubicBezTo>
                  <a:pt x="985714" y="216440"/>
                  <a:pt x="1003090" y="217564"/>
                  <a:pt x="968375" y="230188"/>
                </a:cubicBezTo>
                <a:cubicBezTo>
                  <a:pt x="882811" y="261302"/>
                  <a:pt x="927252" y="227908"/>
                  <a:pt x="849312" y="269875"/>
                </a:cubicBezTo>
                <a:cubicBezTo>
                  <a:pt x="832513" y="278920"/>
                  <a:pt x="820447" y="298151"/>
                  <a:pt x="801687" y="301625"/>
                </a:cubicBezTo>
                <a:cubicBezTo>
                  <a:pt x="746992" y="311754"/>
                  <a:pt x="690562" y="306917"/>
                  <a:pt x="635000" y="309563"/>
                </a:cubicBezTo>
                <a:cubicBezTo>
                  <a:pt x="632354" y="317500"/>
                  <a:pt x="626024" y="325073"/>
                  <a:pt x="627062" y="333375"/>
                </a:cubicBezTo>
                <a:cubicBezTo>
                  <a:pt x="628751" y="346889"/>
                  <a:pt x="651995" y="391179"/>
                  <a:pt x="658812" y="404813"/>
                </a:cubicBezTo>
                <a:cubicBezTo>
                  <a:pt x="665695" y="487403"/>
                  <a:pt x="642156" y="491678"/>
                  <a:pt x="698500" y="523875"/>
                </a:cubicBezTo>
                <a:cubicBezTo>
                  <a:pt x="705764" y="528026"/>
                  <a:pt x="714375" y="529167"/>
                  <a:pt x="722312" y="531813"/>
                </a:cubicBezTo>
                <a:cubicBezTo>
                  <a:pt x="735541" y="542396"/>
                  <a:pt x="751154" y="550548"/>
                  <a:pt x="762000" y="563563"/>
                </a:cubicBezTo>
                <a:cubicBezTo>
                  <a:pt x="777979" y="582738"/>
                  <a:pt x="801687" y="627063"/>
                  <a:pt x="801687" y="627063"/>
                </a:cubicBezTo>
                <a:cubicBezTo>
                  <a:pt x="804333" y="637646"/>
                  <a:pt x="804213" y="649341"/>
                  <a:pt x="809625" y="658813"/>
                </a:cubicBezTo>
                <a:cubicBezTo>
                  <a:pt x="825625" y="686814"/>
                  <a:pt x="840451" y="682009"/>
                  <a:pt x="865187" y="698500"/>
                </a:cubicBezTo>
                <a:cubicBezTo>
                  <a:pt x="879283" y="707898"/>
                  <a:pt x="891646" y="719667"/>
                  <a:pt x="904875" y="730250"/>
                </a:cubicBezTo>
                <a:cubicBezTo>
                  <a:pt x="912812" y="743479"/>
                  <a:pt x="923808" y="755302"/>
                  <a:pt x="928687" y="769938"/>
                </a:cubicBezTo>
                <a:cubicBezTo>
                  <a:pt x="934826" y="788355"/>
                  <a:pt x="944198" y="910083"/>
                  <a:pt x="944562" y="912813"/>
                </a:cubicBezTo>
                <a:cubicBezTo>
                  <a:pt x="946004" y="923626"/>
                  <a:pt x="947621" y="934806"/>
                  <a:pt x="952500" y="944563"/>
                </a:cubicBezTo>
                <a:cubicBezTo>
                  <a:pt x="958416" y="956395"/>
                  <a:pt x="968375" y="965730"/>
                  <a:pt x="976312" y="976313"/>
                </a:cubicBezTo>
                <a:cubicBezTo>
                  <a:pt x="978958" y="986896"/>
                  <a:pt x="980419" y="997849"/>
                  <a:pt x="984250" y="1008063"/>
                </a:cubicBezTo>
                <a:cubicBezTo>
                  <a:pt x="994711" y="1035958"/>
                  <a:pt x="1016050" y="1063700"/>
                  <a:pt x="1031875" y="1087438"/>
                </a:cubicBezTo>
                <a:cubicBezTo>
                  <a:pt x="1045586" y="1183420"/>
                  <a:pt x="1051758" y="1213169"/>
                  <a:pt x="1047750" y="1341438"/>
                </a:cubicBezTo>
                <a:cubicBezTo>
                  <a:pt x="1047148" y="1360690"/>
                  <a:pt x="1046128" y="1384043"/>
                  <a:pt x="1031875" y="1397000"/>
                </a:cubicBezTo>
                <a:cubicBezTo>
                  <a:pt x="1013302" y="1413885"/>
                  <a:pt x="983508" y="1410925"/>
                  <a:pt x="960437" y="1420813"/>
                </a:cubicBezTo>
                <a:cubicBezTo>
                  <a:pt x="946257" y="1426890"/>
                  <a:pt x="933979" y="1436688"/>
                  <a:pt x="920750" y="1444625"/>
                </a:cubicBezTo>
                <a:cubicBezTo>
                  <a:pt x="871990" y="1517766"/>
                  <a:pt x="963568" y="1393565"/>
                  <a:pt x="833437" y="1476375"/>
                </a:cubicBezTo>
                <a:cubicBezTo>
                  <a:pt x="819319" y="1485359"/>
                  <a:pt x="823777" y="1508463"/>
                  <a:pt x="817562" y="1524000"/>
                </a:cubicBezTo>
                <a:cubicBezTo>
                  <a:pt x="813168" y="1534986"/>
                  <a:pt x="810671" y="1548049"/>
                  <a:pt x="801687" y="1555750"/>
                </a:cubicBezTo>
                <a:cubicBezTo>
                  <a:pt x="782145" y="1572501"/>
                  <a:pt x="745036" y="1572746"/>
                  <a:pt x="722312" y="1579563"/>
                </a:cubicBezTo>
                <a:cubicBezTo>
                  <a:pt x="708665" y="1583657"/>
                  <a:pt x="695854" y="1590146"/>
                  <a:pt x="682625" y="1595438"/>
                </a:cubicBezTo>
                <a:cubicBezTo>
                  <a:pt x="674687" y="1603375"/>
                  <a:pt x="665704" y="1610389"/>
                  <a:pt x="658812" y="1619250"/>
                </a:cubicBezTo>
                <a:cubicBezTo>
                  <a:pt x="647098" y="1634310"/>
                  <a:pt x="645162" y="1660841"/>
                  <a:pt x="627062" y="1666875"/>
                </a:cubicBezTo>
                <a:lnTo>
                  <a:pt x="555625" y="1690688"/>
                </a:lnTo>
                <a:cubicBezTo>
                  <a:pt x="547687" y="1698625"/>
                  <a:pt x="540673" y="1707608"/>
                  <a:pt x="531812" y="1714500"/>
                </a:cubicBezTo>
                <a:cubicBezTo>
                  <a:pt x="516752" y="1726213"/>
                  <a:pt x="484187" y="1746250"/>
                  <a:pt x="484187" y="1746250"/>
                </a:cubicBezTo>
                <a:cubicBezTo>
                  <a:pt x="463020" y="1740958"/>
                  <a:pt x="441619" y="1736531"/>
                  <a:pt x="420687" y="1730375"/>
                </a:cubicBezTo>
                <a:cubicBezTo>
                  <a:pt x="396607" y="1723293"/>
                  <a:pt x="349250" y="1706563"/>
                  <a:pt x="349250" y="1706563"/>
                </a:cubicBezTo>
                <a:cubicBezTo>
                  <a:pt x="333375" y="1695980"/>
                  <a:pt x="318690" y="1683346"/>
                  <a:pt x="301625" y="1674813"/>
                </a:cubicBezTo>
                <a:cubicBezTo>
                  <a:pt x="291042" y="1669521"/>
                  <a:pt x="279504" y="1665816"/>
                  <a:pt x="269875" y="1658938"/>
                </a:cubicBezTo>
                <a:cubicBezTo>
                  <a:pt x="260740" y="1652413"/>
                  <a:pt x="256281" y="1639770"/>
                  <a:pt x="246062" y="1635125"/>
                </a:cubicBezTo>
                <a:cubicBezTo>
                  <a:pt x="231016" y="1628286"/>
                  <a:pt x="165903" y="1615918"/>
                  <a:pt x="142875" y="1611313"/>
                </a:cubicBezTo>
                <a:cubicBezTo>
                  <a:pt x="119062" y="1613959"/>
                  <a:pt x="89628" y="1603658"/>
                  <a:pt x="71437" y="1619250"/>
                </a:cubicBezTo>
                <a:cubicBezTo>
                  <a:pt x="48074" y="1639275"/>
                  <a:pt x="104100" y="1670130"/>
                  <a:pt x="111125" y="1674813"/>
                </a:cubicBezTo>
                <a:cubicBezTo>
                  <a:pt x="81627" y="1726434"/>
                  <a:pt x="89253" y="1736937"/>
                  <a:pt x="31750" y="1754188"/>
                </a:cubicBezTo>
                <a:cubicBezTo>
                  <a:pt x="21613" y="1757229"/>
                  <a:pt x="10583" y="1754188"/>
                  <a:pt x="0" y="1754188"/>
                </a:cubicBezTo>
              </a:path>
            </a:pathLst>
          </a:custGeom>
          <a:noFill/>
          <a:ln>
            <a:solidFill>
              <a:srgbClr val="92D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5" name="Forma libre: forma 4">
            <a:extLst>
              <a:ext uri="{FF2B5EF4-FFF2-40B4-BE49-F238E27FC236}">
                <a16:creationId xmlns:a16="http://schemas.microsoft.com/office/drawing/2014/main" id="{C4AB9751-2C6E-F5A3-17DC-D8E600005D41}"/>
              </a:ext>
            </a:extLst>
          </xdr:cNvPr>
          <xdr:cNvSpPr/>
        </xdr:nvSpPr>
        <xdr:spPr>
          <a:xfrm>
            <a:off x="13008421" y="2159000"/>
            <a:ext cx="1199704" cy="1285875"/>
          </a:xfrm>
          <a:custGeom>
            <a:avLst/>
            <a:gdLst>
              <a:gd name="connsiteX0" fmla="*/ 1191767 w 1199704"/>
              <a:gd name="connsiteY0" fmla="*/ 0 h 1285875"/>
              <a:gd name="connsiteX1" fmla="*/ 1167954 w 1199704"/>
              <a:gd name="connsiteY1" fmla="*/ 39688 h 1285875"/>
              <a:gd name="connsiteX2" fmla="*/ 1183829 w 1199704"/>
              <a:gd name="connsiteY2" fmla="*/ 63500 h 1285875"/>
              <a:gd name="connsiteX3" fmla="*/ 1199704 w 1199704"/>
              <a:gd name="connsiteY3" fmla="*/ 95250 h 1285875"/>
              <a:gd name="connsiteX4" fmla="*/ 1183829 w 1199704"/>
              <a:gd name="connsiteY4" fmla="*/ 119063 h 1285875"/>
              <a:gd name="connsiteX5" fmla="*/ 1120329 w 1199704"/>
              <a:gd name="connsiteY5" fmla="*/ 79375 h 1285875"/>
              <a:gd name="connsiteX6" fmla="*/ 1112392 w 1199704"/>
              <a:gd name="connsiteY6" fmla="*/ 47625 h 1285875"/>
              <a:gd name="connsiteX7" fmla="*/ 1120329 w 1199704"/>
              <a:gd name="connsiteY7" fmla="*/ 71438 h 1285875"/>
              <a:gd name="connsiteX8" fmla="*/ 1088579 w 1199704"/>
              <a:gd name="connsiteY8" fmla="*/ 87313 h 1285875"/>
              <a:gd name="connsiteX9" fmla="*/ 1096517 w 1199704"/>
              <a:gd name="connsiteY9" fmla="*/ 166688 h 1285875"/>
              <a:gd name="connsiteX10" fmla="*/ 1104454 w 1199704"/>
              <a:gd name="connsiteY10" fmla="*/ 190500 h 1285875"/>
              <a:gd name="connsiteX11" fmla="*/ 1072704 w 1199704"/>
              <a:gd name="connsiteY11" fmla="*/ 293688 h 1285875"/>
              <a:gd name="connsiteX12" fmla="*/ 1033017 w 1199704"/>
              <a:gd name="connsiteY12" fmla="*/ 373063 h 1285875"/>
              <a:gd name="connsiteX13" fmla="*/ 1001267 w 1199704"/>
              <a:gd name="connsiteY13" fmla="*/ 396875 h 1285875"/>
              <a:gd name="connsiteX14" fmla="*/ 1009204 w 1199704"/>
              <a:gd name="connsiteY14" fmla="*/ 436563 h 1285875"/>
              <a:gd name="connsiteX15" fmla="*/ 1025079 w 1199704"/>
              <a:gd name="connsiteY15" fmla="*/ 460375 h 1285875"/>
              <a:gd name="connsiteX16" fmla="*/ 1033017 w 1199704"/>
              <a:gd name="connsiteY16" fmla="*/ 492125 h 1285875"/>
              <a:gd name="connsiteX17" fmla="*/ 1056829 w 1199704"/>
              <a:gd name="connsiteY17" fmla="*/ 642938 h 1285875"/>
              <a:gd name="connsiteX18" fmla="*/ 1064767 w 1199704"/>
              <a:gd name="connsiteY18" fmla="*/ 682625 h 1285875"/>
              <a:gd name="connsiteX19" fmla="*/ 1072704 w 1199704"/>
              <a:gd name="connsiteY19" fmla="*/ 730250 h 1285875"/>
              <a:gd name="connsiteX20" fmla="*/ 1088579 w 1199704"/>
              <a:gd name="connsiteY20" fmla="*/ 762000 h 1285875"/>
              <a:gd name="connsiteX21" fmla="*/ 1080642 w 1199704"/>
              <a:gd name="connsiteY21" fmla="*/ 785813 h 1285875"/>
              <a:gd name="connsiteX22" fmla="*/ 1064767 w 1199704"/>
              <a:gd name="connsiteY22" fmla="*/ 849313 h 1285875"/>
              <a:gd name="connsiteX23" fmla="*/ 993329 w 1199704"/>
              <a:gd name="connsiteY23" fmla="*/ 825500 h 1285875"/>
              <a:gd name="connsiteX24" fmla="*/ 969517 w 1199704"/>
              <a:gd name="connsiteY24" fmla="*/ 817563 h 1285875"/>
              <a:gd name="connsiteX25" fmla="*/ 945704 w 1199704"/>
              <a:gd name="connsiteY25" fmla="*/ 809625 h 1285875"/>
              <a:gd name="connsiteX26" fmla="*/ 890142 w 1199704"/>
              <a:gd name="connsiteY26" fmla="*/ 801688 h 1285875"/>
              <a:gd name="connsiteX27" fmla="*/ 771079 w 1199704"/>
              <a:gd name="connsiteY27" fmla="*/ 825500 h 1285875"/>
              <a:gd name="connsiteX28" fmla="*/ 755204 w 1199704"/>
              <a:gd name="connsiteY28" fmla="*/ 857250 h 1285875"/>
              <a:gd name="connsiteX29" fmla="*/ 731392 w 1199704"/>
              <a:gd name="connsiteY29" fmla="*/ 928688 h 1285875"/>
              <a:gd name="connsiteX30" fmla="*/ 707579 w 1199704"/>
              <a:gd name="connsiteY30" fmla="*/ 936625 h 1285875"/>
              <a:gd name="connsiteX31" fmla="*/ 691704 w 1199704"/>
              <a:gd name="connsiteY31" fmla="*/ 1063625 h 1285875"/>
              <a:gd name="connsiteX32" fmla="*/ 675829 w 1199704"/>
              <a:gd name="connsiteY32" fmla="*/ 1087438 h 1285875"/>
              <a:gd name="connsiteX33" fmla="*/ 628204 w 1199704"/>
              <a:gd name="connsiteY33" fmla="*/ 1143000 h 1285875"/>
              <a:gd name="connsiteX34" fmla="*/ 620267 w 1199704"/>
              <a:gd name="connsiteY34" fmla="*/ 1190625 h 1285875"/>
              <a:gd name="connsiteX35" fmla="*/ 580579 w 1199704"/>
              <a:gd name="connsiteY35" fmla="*/ 1222375 h 1285875"/>
              <a:gd name="connsiteX36" fmla="*/ 556767 w 1199704"/>
              <a:gd name="connsiteY36" fmla="*/ 1238250 h 1285875"/>
              <a:gd name="connsiteX37" fmla="*/ 525017 w 1199704"/>
              <a:gd name="connsiteY37" fmla="*/ 1262063 h 1285875"/>
              <a:gd name="connsiteX38" fmla="*/ 469454 w 1199704"/>
              <a:gd name="connsiteY38" fmla="*/ 1285875 h 1285875"/>
              <a:gd name="connsiteX39" fmla="*/ 453579 w 1199704"/>
              <a:gd name="connsiteY39" fmla="*/ 1254125 h 1285875"/>
              <a:gd name="connsiteX40" fmla="*/ 453579 w 1199704"/>
              <a:gd name="connsiteY40" fmla="*/ 1182688 h 1285875"/>
              <a:gd name="connsiteX41" fmla="*/ 421829 w 1199704"/>
              <a:gd name="connsiteY41" fmla="*/ 1166813 h 1285875"/>
              <a:gd name="connsiteX42" fmla="*/ 413892 w 1199704"/>
              <a:gd name="connsiteY42" fmla="*/ 1111250 h 1285875"/>
              <a:gd name="connsiteX43" fmla="*/ 390079 w 1199704"/>
              <a:gd name="connsiteY43" fmla="*/ 1135063 h 1285875"/>
              <a:gd name="connsiteX44" fmla="*/ 271017 w 1199704"/>
              <a:gd name="connsiteY44" fmla="*/ 1143000 h 1285875"/>
              <a:gd name="connsiteX45" fmla="*/ 247204 w 1199704"/>
              <a:gd name="connsiteY45" fmla="*/ 1150938 h 1285875"/>
              <a:gd name="connsiteX46" fmla="*/ 207517 w 1199704"/>
              <a:gd name="connsiteY46" fmla="*/ 1158875 h 1285875"/>
              <a:gd name="connsiteX47" fmla="*/ 183704 w 1199704"/>
              <a:gd name="connsiteY47" fmla="*/ 1174750 h 1285875"/>
              <a:gd name="connsiteX48" fmla="*/ 120204 w 1199704"/>
              <a:gd name="connsiteY48" fmla="*/ 1127125 h 1285875"/>
              <a:gd name="connsiteX49" fmla="*/ 112267 w 1199704"/>
              <a:gd name="connsiteY49" fmla="*/ 1087438 h 1285875"/>
              <a:gd name="connsiteX50" fmla="*/ 96392 w 1199704"/>
              <a:gd name="connsiteY50" fmla="*/ 1063625 h 1285875"/>
              <a:gd name="connsiteX51" fmla="*/ 88454 w 1199704"/>
              <a:gd name="connsiteY51" fmla="*/ 968375 h 1285875"/>
              <a:gd name="connsiteX52" fmla="*/ 80517 w 1199704"/>
              <a:gd name="connsiteY52" fmla="*/ 912813 h 1285875"/>
              <a:gd name="connsiteX53" fmla="*/ 24954 w 1199704"/>
              <a:gd name="connsiteY53" fmla="*/ 833438 h 1285875"/>
              <a:gd name="connsiteX54" fmla="*/ 9079 w 1199704"/>
              <a:gd name="connsiteY54" fmla="*/ 801688 h 1285875"/>
              <a:gd name="connsiteX55" fmla="*/ 9079 w 1199704"/>
              <a:gd name="connsiteY55" fmla="*/ 674688 h 1285875"/>
              <a:gd name="connsiteX56" fmla="*/ 17017 w 1199704"/>
              <a:gd name="connsiteY56" fmla="*/ 642938 h 1285875"/>
              <a:gd name="connsiteX57" fmla="*/ 40829 w 1199704"/>
              <a:gd name="connsiteY57" fmla="*/ 627063 h 1285875"/>
              <a:gd name="connsiteX58" fmla="*/ 80517 w 1199704"/>
              <a:gd name="connsiteY58" fmla="*/ 587375 h 128587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</a:cxnLst>
            <a:rect l="l" t="t" r="r" b="b"/>
            <a:pathLst>
              <a:path w="1199704" h="1285875">
                <a:moveTo>
                  <a:pt x="1191767" y="0"/>
                </a:moveTo>
                <a:cubicBezTo>
                  <a:pt x="1183829" y="13229"/>
                  <a:pt x="1169868" y="24379"/>
                  <a:pt x="1167954" y="39688"/>
                </a:cubicBezTo>
                <a:cubicBezTo>
                  <a:pt x="1166771" y="49154"/>
                  <a:pt x="1179096" y="55217"/>
                  <a:pt x="1183829" y="63500"/>
                </a:cubicBezTo>
                <a:cubicBezTo>
                  <a:pt x="1189700" y="73773"/>
                  <a:pt x="1194412" y="84667"/>
                  <a:pt x="1199704" y="95250"/>
                </a:cubicBezTo>
                <a:cubicBezTo>
                  <a:pt x="1194412" y="103188"/>
                  <a:pt x="1193002" y="116442"/>
                  <a:pt x="1183829" y="119063"/>
                </a:cubicBezTo>
                <a:cubicBezTo>
                  <a:pt x="1146968" y="129595"/>
                  <a:pt x="1136745" y="101262"/>
                  <a:pt x="1120329" y="79375"/>
                </a:cubicBezTo>
                <a:cubicBezTo>
                  <a:pt x="1117683" y="68792"/>
                  <a:pt x="1112392" y="58534"/>
                  <a:pt x="1112392" y="47625"/>
                </a:cubicBezTo>
                <a:cubicBezTo>
                  <a:pt x="1112392" y="39258"/>
                  <a:pt x="1124634" y="64263"/>
                  <a:pt x="1120329" y="71438"/>
                </a:cubicBezTo>
                <a:cubicBezTo>
                  <a:pt x="1114241" y="81584"/>
                  <a:pt x="1099162" y="82021"/>
                  <a:pt x="1088579" y="87313"/>
                </a:cubicBezTo>
                <a:cubicBezTo>
                  <a:pt x="1091225" y="113771"/>
                  <a:pt x="1092474" y="140407"/>
                  <a:pt x="1096517" y="166688"/>
                </a:cubicBezTo>
                <a:cubicBezTo>
                  <a:pt x="1097789" y="174957"/>
                  <a:pt x="1105096" y="182158"/>
                  <a:pt x="1104454" y="190500"/>
                </a:cubicBezTo>
                <a:cubicBezTo>
                  <a:pt x="1099053" y="260712"/>
                  <a:pt x="1099181" y="253971"/>
                  <a:pt x="1072704" y="293688"/>
                </a:cubicBezTo>
                <a:cubicBezTo>
                  <a:pt x="1059783" y="332451"/>
                  <a:pt x="1061227" y="344853"/>
                  <a:pt x="1033017" y="373063"/>
                </a:cubicBezTo>
                <a:cubicBezTo>
                  <a:pt x="1023663" y="382417"/>
                  <a:pt x="1011850" y="388938"/>
                  <a:pt x="1001267" y="396875"/>
                </a:cubicBezTo>
                <a:cubicBezTo>
                  <a:pt x="1003913" y="410104"/>
                  <a:pt x="1004467" y="423931"/>
                  <a:pt x="1009204" y="436563"/>
                </a:cubicBezTo>
                <a:cubicBezTo>
                  <a:pt x="1012553" y="445495"/>
                  <a:pt x="1021321" y="451607"/>
                  <a:pt x="1025079" y="460375"/>
                </a:cubicBezTo>
                <a:cubicBezTo>
                  <a:pt x="1029376" y="470402"/>
                  <a:pt x="1030371" y="481542"/>
                  <a:pt x="1033017" y="492125"/>
                </a:cubicBezTo>
                <a:cubicBezTo>
                  <a:pt x="1048009" y="702020"/>
                  <a:pt x="1024845" y="536327"/>
                  <a:pt x="1056829" y="642938"/>
                </a:cubicBezTo>
                <a:cubicBezTo>
                  <a:pt x="1060706" y="655860"/>
                  <a:pt x="1062354" y="669352"/>
                  <a:pt x="1064767" y="682625"/>
                </a:cubicBezTo>
                <a:cubicBezTo>
                  <a:pt x="1067646" y="698459"/>
                  <a:pt x="1068080" y="714835"/>
                  <a:pt x="1072704" y="730250"/>
                </a:cubicBezTo>
                <a:cubicBezTo>
                  <a:pt x="1076104" y="741584"/>
                  <a:pt x="1083287" y="751417"/>
                  <a:pt x="1088579" y="762000"/>
                </a:cubicBezTo>
                <a:cubicBezTo>
                  <a:pt x="1085933" y="769938"/>
                  <a:pt x="1082843" y="777741"/>
                  <a:pt x="1080642" y="785813"/>
                </a:cubicBezTo>
                <a:cubicBezTo>
                  <a:pt x="1074901" y="806862"/>
                  <a:pt x="1084630" y="840285"/>
                  <a:pt x="1064767" y="849313"/>
                </a:cubicBezTo>
                <a:cubicBezTo>
                  <a:pt x="1041916" y="859700"/>
                  <a:pt x="1017142" y="833438"/>
                  <a:pt x="993329" y="825500"/>
                </a:cubicBezTo>
                <a:lnTo>
                  <a:pt x="969517" y="817563"/>
                </a:lnTo>
                <a:cubicBezTo>
                  <a:pt x="961579" y="814917"/>
                  <a:pt x="953987" y="810808"/>
                  <a:pt x="945704" y="809625"/>
                </a:cubicBezTo>
                <a:lnTo>
                  <a:pt x="890142" y="801688"/>
                </a:lnTo>
                <a:cubicBezTo>
                  <a:pt x="869681" y="803548"/>
                  <a:pt x="797129" y="799450"/>
                  <a:pt x="771079" y="825500"/>
                </a:cubicBezTo>
                <a:cubicBezTo>
                  <a:pt x="762712" y="833867"/>
                  <a:pt x="760496" y="846667"/>
                  <a:pt x="755204" y="857250"/>
                </a:cubicBezTo>
                <a:cubicBezTo>
                  <a:pt x="751191" y="877316"/>
                  <a:pt x="747824" y="912257"/>
                  <a:pt x="731392" y="928688"/>
                </a:cubicBezTo>
                <a:cubicBezTo>
                  <a:pt x="725476" y="934604"/>
                  <a:pt x="715517" y="933979"/>
                  <a:pt x="707579" y="936625"/>
                </a:cubicBezTo>
                <a:cubicBezTo>
                  <a:pt x="681896" y="1013680"/>
                  <a:pt x="728476" y="867512"/>
                  <a:pt x="691704" y="1063625"/>
                </a:cubicBezTo>
                <a:cubicBezTo>
                  <a:pt x="689946" y="1073001"/>
                  <a:pt x="681374" y="1079675"/>
                  <a:pt x="675829" y="1087438"/>
                </a:cubicBezTo>
                <a:cubicBezTo>
                  <a:pt x="650372" y="1123078"/>
                  <a:pt x="657052" y="1114153"/>
                  <a:pt x="628204" y="1143000"/>
                </a:cubicBezTo>
                <a:cubicBezTo>
                  <a:pt x="625558" y="1158875"/>
                  <a:pt x="628547" y="1176825"/>
                  <a:pt x="620267" y="1190625"/>
                </a:cubicBezTo>
                <a:cubicBezTo>
                  <a:pt x="611551" y="1205152"/>
                  <a:pt x="594132" y="1212210"/>
                  <a:pt x="580579" y="1222375"/>
                </a:cubicBezTo>
                <a:cubicBezTo>
                  <a:pt x="572947" y="1228099"/>
                  <a:pt x="564530" y="1232705"/>
                  <a:pt x="556767" y="1238250"/>
                </a:cubicBezTo>
                <a:cubicBezTo>
                  <a:pt x="546002" y="1245939"/>
                  <a:pt x="536235" y="1255051"/>
                  <a:pt x="525017" y="1262063"/>
                </a:cubicBezTo>
                <a:cubicBezTo>
                  <a:pt x="502597" y="1276076"/>
                  <a:pt x="492603" y="1278159"/>
                  <a:pt x="469454" y="1285875"/>
                </a:cubicBezTo>
                <a:cubicBezTo>
                  <a:pt x="464162" y="1275292"/>
                  <a:pt x="455047" y="1265866"/>
                  <a:pt x="453579" y="1254125"/>
                </a:cubicBezTo>
                <a:cubicBezTo>
                  <a:pt x="448852" y="1216309"/>
                  <a:pt x="483365" y="1224388"/>
                  <a:pt x="453579" y="1182688"/>
                </a:cubicBezTo>
                <a:cubicBezTo>
                  <a:pt x="446701" y="1173060"/>
                  <a:pt x="432412" y="1172105"/>
                  <a:pt x="421829" y="1166813"/>
                </a:cubicBezTo>
                <a:cubicBezTo>
                  <a:pt x="419183" y="1148292"/>
                  <a:pt x="427121" y="1124479"/>
                  <a:pt x="413892" y="1111250"/>
                </a:cubicBezTo>
                <a:cubicBezTo>
                  <a:pt x="405954" y="1103312"/>
                  <a:pt x="401037" y="1132628"/>
                  <a:pt x="390079" y="1135063"/>
                </a:cubicBezTo>
                <a:cubicBezTo>
                  <a:pt x="351251" y="1143691"/>
                  <a:pt x="310704" y="1140354"/>
                  <a:pt x="271017" y="1143000"/>
                </a:cubicBezTo>
                <a:cubicBezTo>
                  <a:pt x="263079" y="1145646"/>
                  <a:pt x="255321" y="1148909"/>
                  <a:pt x="247204" y="1150938"/>
                </a:cubicBezTo>
                <a:cubicBezTo>
                  <a:pt x="234116" y="1154210"/>
                  <a:pt x="220149" y="1154138"/>
                  <a:pt x="207517" y="1158875"/>
                </a:cubicBezTo>
                <a:cubicBezTo>
                  <a:pt x="198585" y="1162225"/>
                  <a:pt x="191642" y="1169458"/>
                  <a:pt x="183704" y="1174750"/>
                </a:cubicBezTo>
                <a:cubicBezTo>
                  <a:pt x="168476" y="1165613"/>
                  <a:pt x="130125" y="1146966"/>
                  <a:pt x="120204" y="1127125"/>
                </a:cubicBezTo>
                <a:cubicBezTo>
                  <a:pt x="114171" y="1115058"/>
                  <a:pt x="117004" y="1100070"/>
                  <a:pt x="112267" y="1087438"/>
                </a:cubicBezTo>
                <a:cubicBezTo>
                  <a:pt x="108917" y="1078506"/>
                  <a:pt x="101684" y="1071563"/>
                  <a:pt x="96392" y="1063625"/>
                </a:cubicBezTo>
                <a:cubicBezTo>
                  <a:pt x="93746" y="1031875"/>
                  <a:pt x="91789" y="1000060"/>
                  <a:pt x="88454" y="968375"/>
                </a:cubicBezTo>
                <a:cubicBezTo>
                  <a:pt x="86495" y="949769"/>
                  <a:pt x="87233" y="930275"/>
                  <a:pt x="80517" y="912813"/>
                </a:cubicBezTo>
                <a:cubicBezTo>
                  <a:pt x="70864" y="887715"/>
                  <a:pt x="39805" y="857199"/>
                  <a:pt x="24954" y="833438"/>
                </a:cubicBezTo>
                <a:cubicBezTo>
                  <a:pt x="18683" y="823404"/>
                  <a:pt x="14371" y="812271"/>
                  <a:pt x="9079" y="801688"/>
                </a:cubicBezTo>
                <a:cubicBezTo>
                  <a:pt x="-3405" y="739264"/>
                  <a:pt x="-2644" y="762611"/>
                  <a:pt x="9079" y="674688"/>
                </a:cubicBezTo>
                <a:cubicBezTo>
                  <a:pt x="10521" y="663875"/>
                  <a:pt x="10966" y="652015"/>
                  <a:pt x="17017" y="642938"/>
                </a:cubicBezTo>
                <a:cubicBezTo>
                  <a:pt x="22309" y="635001"/>
                  <a:pt x="32892" y="632355"/>
                  <a:pt x="40829" y="627063"/>
                </a:cubicBezTo>
                <a:cubicBezTo>
                  <a:pt x="67365" y="582837"/>
                  <a:pt x="49214" y="587375"/>
                  <a:pt x="80517" y="587375"/>
                </a:cubicBezTo>
              </a:path>
            </a:pathLst>
          </a:custGeom>
          <a:noFill/>
          <a:ln>
            <a:solidFill>
              <a:srgbClr val="92D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6" name="Forma libre: forma 5">
            <a:extLst>
              <a:ext uri="{FF2B5EF4-FFF2-40B4-BE49-F238E27FC236}">
                <a16:creationId xmlns:a16="http://schemas.microsoft.com/office/drawing/2014/main" id="{A1ED63D0-2734-C1A5-0558-4903A4E7CB8F}"/>
              </a:ext>
            </a:extLst>
          </xdr:cNvPr>
          <xdr:cNvSpPr/>
        </xdr:nvSpPr>
        <xdr:spPr>
          <a:xfrm>
            <a:off x="13660152" y="3286125"/>
            <a:ext cx="865473" cy="515938"/>
          </a:xfrm>
          <a:custGeom>
            <a:avLst/>
            <a:gdLst>
              <a:gd name="connsiteX0" fmla="*/ 865473 w 865473"/>
              <a:gd name="connsiteY0" fmla="*/ 492125 h 515938"/>
              <a:gd name="connsiteX1" fmla="*/ 778161 w 865473"/>
              <a:gd name="connsiteY1" fmla="*/ 515938 h 515938"/>
              <a:gd name="connsiteX2" fmla="*/ 754348 w 865473"/>
              <a:gd name="connsiteY2" fmla="*/ 508000 h 515938"/>
              <a:gd name="connsiteX3" fmla="*/ 714661 w 865473"/>
              <a:gd name="connsiteY3" fmla="*/ 420688 h 515938"/>
              <a:gd name="connsiteX4" fmla="*/ 682911 w 865473"/>
              <a:gd name="connsiteY4" fmla="*/ 412750 h 515938"/>
              <a:gd name="connsiteX5" fmla="*/ 381286 w 865473"/>
              <a:gd name="connsiteY5" fmla="*/ 412750 h 515938"/>
              <a:gd name="connsiteX6" fmla="*/ 341598 w 865473"/>
              <a:gd name="connsiteY6" fmla="*/ 396875 h 515938"/>
              <a:gd name="connsiteX7" fmla="*/ 317786 w 865473"/>
              <a:gd name="connsiteY7" fmla="*/ 373063 h 515938"/>
              <a:gd name="connsiteX8" fmla="*/ 301911 w 865473"/>
              <a:gd name="connsiteY8" fmla="*/ 309563 h 515938"/>
              <a:gd name="connsiteX9" fmla="*/ 293973 w 865473"/>
              <a:gd name="connsiteY9" fmla="*/ 277813 h 515938"/>
              <a:gd name="connsiteX10" fmla="*/ 262223 w 865473"/>
              <a:gd name="connsiteY10" fmla="*/ 214313 h 515938"/>
              <a:gd name="connsiteX11" fmla="*/ 214598 w 865473"/>
              <a:gd name="connsiteY11" fmla="*/ 190500 h 515938"/>
              <a:gd name="connsiteX12" fmla="*/ 63786 w 865473"/>
              <a:gd name="connsiteY12" fmla="*/ 174625 h 515938"/>
              <a:gd name="connsiteX13" fmla="*/ 47911 w 865473"/>
              <a:gd name="connsiteY13" fmla="*/ 150813 h 515938"/>
              <a:gd name="connsiteX14" fmla="*/ 24098 w 865473"/>
              <a:gd name="connsiteY14" fmla="*/ 127000 h 515938"/>
              <a:gd name="connsiteX15" fmla="*/ 8223 w 865473"/>
              <a:gd name="connsiteY15" fmla="*/ 95250 h 515938"/>
              <a:gd name="connsiteX16" fmla="*/ 286 w 865473"/>
              <a:gd name="connsiteY16" fmla="*/ 0 h 51593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</a:cxnLst>
            <a:rect l="l" t="t" r="r" b="b"/>
            <a:pathLst>
              <a:path w="865473" h="515938">
                <a:moveTo>
                  <a:pt x="865473" y="492125"/>
                </a:moveTo>
                <a:cubicBezTo>
                  <a:pt x="846800" y="498349"/>
                  <a:pt x="800597" y="515938"/>
                  <a:pt x="778161" y="515938"/>
                </a:cubicBezTo>
                <a:cubicBezTo>
                  <a:pt x="769794" y="515938"/>
                  <a:pt x="762286" y="510646"/>
                  <a:pt x="754348" y="508000"/>
                </a:cubicBezTo>
                <a:cubicBezTo>
                  <a:pt x="745284" y="471745"/>
                  <a:pt x="748996" y="440308"/>
                  <a:pt x="714661" y="420688"/>
                </a:cubicBezTo>
                <a:cubicBezTo>
                  <a:pt x="705189" y="415276"/>
                  <a:pt x="693494" y="415396"/>
                  <a:pt x="682911" y="412750"/>
                </a:cubicBezTo>
                <a:cubicBezTo>
                  <a:pt x="555374" y="421860"/>
                  <a:pt x="528484" y="427978"/>
                  <a:pt x="381286" y="412750"/>
                </a:cubicBezTo>
                <a:cubicBezTo>
                  <a:pt x="367113" y="411284"/>
                  <a:pt x="354827" y="402167"/>
                  <a:pt x="341598" y="396875"/>
                </a:cubicBezTo>
                <a:cubicBezTo>
                  <a:pt x="333661" y="388938"/>
                  <a:pt x="322431" y="383282"/>
                  <a:pt x="317786" y="373063"/>
                </a:cubicBezTo>
                <a:cubicBezTo>
                  <a:pt x="308758" y="353201"/>
                  <a:pt x="307203" y="330730"/>
                  <a:pt x="301911" y="309563"/>
                </a:cubicBezTo>
                <a:lnTo>
                  <a:pt x="293973" y="277813"/>
                </a:lnTo>
                <a:cubicBezTo>
                  <a:pt x="287143" y="250492"/>
                  <a:pt x="287349" y="233855"/>
                  <a:pt x="262223" y="214313"/>
                </a:cubicBezTo>
                <a:cubicBezTo>
                  <a:pt x="248213" y="203416"/>
                  <a:pt x="232002" y="193981"/>
                  <a:pt x="214598" y="190500"/>
                </a:cubicBezTo>
                <a:cubicBezTo>
                  <a:pt x="165031" y="180586"/>
                  <a:pt x="114057" y="179917"/>
                  <a:pt x="63786" y="174625"/>
                </a:cubicBezTo>
                <a:cubicBezTo>
                  <a:pt x="58494" y="166688"/>
                  <a:pt x="54018" y="158141"/>
                  <a:pt x="47911" y="150813"/>
                </a:cubicBezTo>
                <a:cubicBezTo>
                  <a:pt x="40725" y="142189"/>
                  <a:pt x="30623" y="136135"/>
                  <a:pt x="24098" y="127000"/>
                </a:cubicBezTo>
                <a:cubicBezTo>
                  <a:pt x="17220" y="117371"/>
                  <a:pt x="13515" y="105833"/>
                  <a:pt x="8223" y="95250"/>
                </a:cubicBezTo>
                <a:cubicBezTo>
                  <a:pt x="-2324" y="31966"/>
                  <a:pt x="286" y="63719"/>
                  <a:pt x="286" y="0"/>
                </a:cubicBezTo>
              </a:path>
            </a:pathLst>
          </a:custGeom>
          <a:noFill/>
          <a:ln>
            <a:solidFill>
              <a:srgbClr val="92D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7" name="Forma libre: forma 6">
            <a:extLst>
              <a:ext uri="{FF2B5EF4-FFF2-40B4-BE49-F238E27FC236}">
                <a16:creationId xmlns:a16="http://schemas.microsoft.com/office/drawing/2014/main" id="{A627A3BC-0829-BA59-9F36-47C2E8A9E105}"/>
              </a:ext>
            </a:extLst>
          </xdr:cNvPr>
          <xdr:cNvSpPr/>
        </xdr:nvSpPr>
        <xdr:spPr>
          <a:xfrm>
            <a:off x="13277295" y="3524250"/>
            <a:ext cx="835580" cy="1262936"/>
          </a:xfrm>
          <a:custGeom>
            <a:avLst/>
            <a:gdLst>
              <a:gd name="connsiteX0" fmla="*/ 605393 w 835580"/>
              <a:gd name="connsiteY0" fmla="*/ 0 h 1262936"/>
              <a:gd name="connsiteX1" fmla="*/ 645080 w 835580"/>
              <a:gd name="connsiteY1" fmla="*/ 15875 h 1262936"/>
              <a:gd name="connsiteX2" fmla="*/ 653018 w 835580"/>
              <a:gd name="connsiteY2" fmla="*/ 39688 h 1262936"/>
              <a:gd name="connsiteX3" fmla="*/ 645080 w 835580"/>
              <a:gd name="connsiteY3" fmla="*/ 127000 h 1262936"/>
              <a:gd name="connsiteX4" fmla="*/ 621268 w 835580"/>
              <a:gd name="connsiteY4" fmla="*/ 150813 h 1262936"/>
              <a:gd name="connsiteX5" fmla="*/ 605393 w 835580"/>
              <a:gd name="connsiteY5" fmla="*/ 182563 h 1262936"/>
              <a:gd name="connsiteX6" fmla="*/ 581580 w 835580"/>
              <a:gd name="connsiteY6" fmla="*/ 206375 h 1262936"/>
              <a:gd name="connsiteX7" fmla="*/ 557768 w 835580"/>
              <a:gd name="connsiteY7" fmla="*/ 238125 h 1262936"/>
              <a:gd name="connsiteX8" fmla="*/ 526018 w 835580"/>
              <a:gd name="connsiteY8" fmla="*/ 285750 h 1262936"/>
              <a:gd name="connsiteX9" fmla="*/ 518080 w 835580"/>
              <a:gd name="connsiteY9" fmla="*/ 309563 h 1262936"/>
              <a:gd name="connsiteX10" fmla="*/ 502205 w 835580"/>
              <a:gd name="connsiteY10" fmla="*/ 349250 h 1262936"/>
              <a:gd name="connsiteX11" fmla="*/ 478393 w 835580"/>
              <a:gd name="connsiteY11" fmla="*/ 365125 h 1262936"/>
              <a:gd name="connsiteX12" fmla="*/ 462518 w 835580"/>
              <a:gd name="connsiteY12" fmla="*/ 388938 h 1262936"/>
              <a:gd name="connsiteX13" fmla="*/ 454580 w 835580"/>
              <a:gd name="connsiteY13" fmla="*/ 484188 h 1262936"/>
              <a:gd name="connsiteX14" fmla="*/ 446643 w 835580"/>
              <a:gd name="connsiteY14" fmla="*/ 508000 h 1262936"/>
              <a:gd name="connsiteX15" fmla="*/ 414893 w 835580"/>
              <a:gd name="connsiteY15" fmla="*/ 531813 h 1262936"/>
              <a:gd name="connsiteX16" fmla="*/ 359330 w 835580"/>
              <a:gd name="connsiteY16" fmla="*/ 595313 h 1262936"/>
              <a:gd name="connsiteX17" fmla="*/ 335518 w 835580"/>
              <a:gd name="connsiteY17" fmla="*/ 603250 h 1262936"/>
              <a:gd name="connsiteX18" fmla="*/ 264080 w 835580"/>
              <a:gd name="connsiteY18" fmla="*/ 635000 h 1262936"/>
              <a:gd name="connsiteX19" fmla="*/ 176768 w 835580"/>
              <a:gd name="connsiteY19" fmla="*/ 611188 h 1262936"/>
              <a:gd name="connsiteX20" fmla="*/ 2143 w 835580"/>
              <a:gd name="connsiteY20" fmla="*/ 603250 h 1262936"/>
              <a:gd name="connsiteX21" fmla="*/ 25955 w 835580"/>
              <a:gd name="connsiteY21" fmla="*/ 619125 h 1262936"/>
              <a:gd name="connsiteX22" fmla="*/ 49768 w 835580"/>
              <a:gd name="connsiteY22" fmla="*/ 627063 h 1262936"/>
              <a:gd name="connsiteX23" fmla="*/ 81518 w 835580"/>
              <a:gd name="connsiteY23" fmla="*/ 650875 h 1262936"/>
              <a:gd name="connsiteX24" fmla="*/ 97393 w 835580"/>
              <a:gd name="connsiteY24" fmla="*/ 698500 h 1262936"/>
              <a:gd name="connsiteX25" fmla="*/ 113268 w 835580"/>
              <a:gd name="connsiteY25" fmla="*/ 730250 h 1262936"/>
              <a:gd name="connsiteX26" fmla="*/ 137080 w 835580"/>
              <a:gd name="connsiteY26" fmla="*/ 809625 h 1262936"/>
              <a:gd name="connsiteX27" fmla="*/ 152955 w 835580"/>
              <a:gd name="connsiteY27" fmla="*/ 865188 h 1262936"/>
              <a:gd name="connsiteX28" fmla="*/ 216455 w 835580"/>
              <a:gd name="connsiteY28" fmla="*/ 896938 h 1262936"/>
              <a:gd name="connsiteX29" fmla="*/ 264080 w 835580"/>
              <a:gd name="connsiteY29" fmla="*/ 928688 h 1262936"/>
              <a:gd name="connsiteX30" fmla="*/ 311705 w 835580"/>
              <a:gd name="connsiteY30" fmla="*/ 960438 h 1262936"/>
              <a:gd name="connsiteX31" fmla="*/ 335518 w 835580"/>
              <a:gd name="connsiteY31" fmla="*/ 976313 h 1262936"/>
              <a:gd name="connsiteX32" fmla="*/ 367268 w 835580"/>
              <a:gd name="connsiteY32" fmla="*/ 992188 h 1262936"/>
              <a:gd name="connsiteX33" fmla="*/ 414893 w 835580"/>
              <a:gd name="connsiteY33" fmla="*/ 1039813 h 1262936"/>
              <a:gd name="connsiteX34" fmla="*/ 430768 w 835580"/>
              <a:gd name="connsiteY34" fmla="*/ 1063625 h 1262936"/>
              <a:gd name="connsiteX35" fmla="*/ 478393 w 835580"/>
              <a:gd name="connsiteY35" fmla="*/ 1103313 h 1262936"/>
              <a:gd name="connsiteX36" fmla="*/ 494268 w 835580"/>
              <a:gd name="connsiteY36" fmla="*/ 1127125 h 1262936"/>
              <a:gd name="connsiteX37" fmla="*/ 518080 w 835580"/>
              <a:gd name="connsiteY37" fmla="*/ 1135063 h 1262936"/>
              <a:gd name="connsiteX38" fmla="*/ 557768 w 835580"/>
              <a:gd name="connsiteY38" fmla="*/ 1150938 h 1262936"/>
              <a:gd name="connsiteX39" fmla="*/ 581580 w 835580"/>
              <a:gd name="connsiteY39" fmla="*/ 1158875 h 1262936"/>
              <a:gd name="connsiteX40" fmla="*/ 613330 w 835580"/>
              <a:gd name="connsiteY40" fmla="*/ 1174750 h 1262936"/>
              <a:gd name="connsiteX41" fmla="*/ 716518 w 835580"/>
              <a:gd name="connsiteY41" fmla="*/ 1182688 h 1262936"/>
              <a:gd name="connsiteX42" fmla="*/ 780018 w 835580"/>
              <a:gd name="connsiteY42" fmla="*/ 1222375 h 1262936"/>
              <a:gd name="connsiteX43" fmla="*/ 819705 w 835580"/>
              <a:gd name="connsiteY43" fmla="*/ 1262063 h 1262936"/>
              <a:gd name="connsiteX44" fmla="*/ 835580 w 835580"/>
              <a:gd name="connsiteY44" fmla="*/ 1262063 h 12629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</a:cxnLst>
            <a:rect l="l" t="t" r="r" b="b"/>
            <a:pathLst>
              <a:path w="835580" h="1262936">
                <a:moveTo>
                  <a:pt x="605393" y="0"/>
                </a:moveTo>
                <a:cubicBezTo>
                  <a:pt x="618622" y="5292"/>
                  <a:pt x="634134" y="6754"/>
                  <a:pt x="645080" y="15875"/>
                </a:cubicBezTo>
                <a:cubicBezTo>
                  <a:pt x="651508" y="21232"/>
                  <a:pt x="653018" y="31321"/>
                  <a:pt x="653018" y="39688"/>
                </a:cubicBezTo>
                <a:cubicBezTo>
                  <a:pt x="653018" y="68912"/>
                  <a:pt x="653108" y="98900"/>
                  <a:pt x="645080" y="127000"/>
                </a:cubicBezTo>
                <a:cubicBezTo>
                  <a:pt x="641996" y="137793"/>
                  <a:pt x="627792" y="141679"/>
                  <a:pt x="621268" y="150813"/>
                </a:cubicBezTo>
                <a:cubicBezTo>
                  <a:pt x="614391" y="160442"/>
                  <a:pt x="612271" y="172935"/>
                  <a:pt x="605393" y="182563"/>
                </a:cubicBezTo>
                <a:cubicBezTo>
                  <a:pt x="598868" y="191697"/>
                  <a:pt x="588885" y="197852"/>
                  <a:pt x="581580" y="206375"/>
                </a:cubicBezTo>
                <a:cubicBezTo>
                  <a:pt x="572971" y="216419"/>
                  <a:pt x="565705" y="227542"/>
                  <a:pt x="557768" y="238125"/>
                </a:cubicBezTo>
                <a:cubicBezTo>
                  <a:pt x="538893" y="294747"/>
                  <a:pt x="565657" y="226292"/>
                  <a:pt x="526018" y="285750"/>
                </a:cubicBezTo>
                <a:cubicBezTo>
                  <a:pt x="521377" y="292712"/>
                  <a:pt x="521018" y="301729"/>
                  <a:pt x="518080" y="309563"/>
                </a:cubicBezTo>
                <a:cubicBezTo>
                  <a:pt x="513077" y="322904"/>
                  <a:pt x="510487" y="337656"/>
                  <a:pt x="502205" y="349250"/>
                </a:cubicBezTo>
                <a:cubicBezTo>
                  <a:pt x="496660" y="357013"/>
                  <a:pt x="486330" y="359833"/>
                  <a:pt x="478393" y="365125"/>
                </a:cubicBezTo>
                <a:cubicBezTo>
                  <a:pt x="473101" y="373063"/>
                  <a:pt x="464389" y="379583"/>
                  <a:pt x="462518" y="388938"/>
                </a:cubicBezTo>
                <a:cubicBezTo>
                  <a:pt x="456270" y="420179"/>
                  <a:pt x="458791" y="452607"/>
                  <a:pt x="454580" y="484188"/>
                </a:cubicBezTo>
                <a:cubicBezTo>
                  <a:pt x="453474" y="492481"/>
                  <a:pt x="451999" y="501573"/>
                  <a:pt x="446643" y="508000"/>
                </a:cubicBezTo>
                <a:cubicBezTo>
                  <a:pt x="438174" y="518163"/>
                  <a:pt x="424248" y="522458"/>
                  <a:pt x="414893" y="531813"/>
                </a:cubicBezTo>
                <a:cubicBezTo>
                  <a:pt x="380176" y="566530"/>
                  <a:pt x="402611" y="564398"/>
                  <a:pt x="359330" y="595313"/>
                </a:cubicBezTo>
                <a:cubicBezTo>
                  <a:pt x="352522" y="600176"/>
                  <a:pt x="343001" y="599508"/>
                  <a:pt x="335518" y="603250"/>
                </a:cubicBezTo>
                <a:cubicBezTo>
                  <a:pt x="266859" y="637580"/>
                  <a:pt x="324668" y="619854"/>
                  <a:pt x="264080" y="635000"/>
                </a:cubicBezTo>
                <a:cubicBezTo>
                  <a:pt x="234976" y="627063"/>
                  <a:pt x="206716" y="614818"/>
                  <a:pt x="176768" y="611188"/>
                </a:cubicBezTo>
                <a:cubicBezTo>
                  <a:pt x="118923" y="604176"/>
                  <a:pt x="60331" y="600188"/>
                  <a:pt x="2143" y="603250"/>
                </a:cubicBezTo>
                <a:cubicBezTo>
                  <a:pt x="-7383" y="603751"/>
                  <a:pt x="17423" y="614859"/>
                  <a:pt x="25955" y="619125"/>
                </a:cubicBezTo>
                <a:cubicBezTo>
                  <a:pt x="33439" y="622867"/>
                  <a:pt x="41830" y="624417"/>
                  <a:pt x="49768" y="627063"/>
                </a:cubicBezTo>
                <a:cubicBezTo>
                  <a:pt x="60351" y="635000"/>
                  <a:pt x="74180" y="639868"/>
                  <a:pt x="81518" y="650875"/>
                </a:cubicBezTo>
                <a:cubicBezTo>
                  <a:pt x="90800" y="664798"/>
                  <a:pt x="91178" y="682963"/>
                  <a:pt x="97393" y="698500"/>
                </a:cubicBezTo>
                <a:cubicBezTo>
                  <a:pt x="101787" y="709486"/>
                  <a:pt x="107976" y="719667"/>
                  <a:pt x="113268" y="730250"/>
                </a:cubicBezTo>
                <a:cubicBezTo>
                  <a:pt x="131747" y="859610"/>
                  <a:pt x="106140" y="737433"/>
                  <a:pt x="137080" y="809625"/>
                </a:cubicBezTo>
                <a:cubicBezTo>
                  <a:pt x="137233" y="809982"/>
                  <a:pt x="149096" y="861329"/>
                  <a:pt x="152955" y="865188"/>
                </a:cubicBezTo>
                <a:cubicBezTo>
                  <a:pt x="193084" y="905317"/>
                  <a:pt x="181659" y="877606"/>
                  <a:pt x="216455" y="896938"/>
                </a:cubicBezTo>
                <a:cubicBezTo>
                  <a:pt x="233133" y="906204"/>
                  <a:pt x="248205" y="918105"/>
                  <a:pt x="264080" y="928688"/>
                </a:cubicBezTo>
                <a:lnTo>
                  <a:pt x="311705" y="960438"/>
                </a:lnTo>
                <a:cubicBezTo>
                  <a:pt x="319643" y="965730"/>
                  <a:pt x="326985" y="972047"/>
                  <a:pt x="335518" y="976313"/>
                </a:cubicBezTo>
                <a:lnTo>
                  <a:pt x="367268" y="992188"/>
                </a:lnTo>
                <a:cubicBezTo>
                  <a:pt x="404680" y="1048305"/>
                  <a:pt x="355821" y="980741"/>
                  <a:pt x="414893" y="1039813"/>
                </a:cubicBezTo>
                <a:cubicBezTo>
                  <a:pt x="421638" y="1046558"/>
                  <a:pt x="424661" y="1056296"/>
                  <a:pt x="430768" y="1063625"/>
                </a:cubicBezTo>
                <a:cubicBezTo>
                  <a:pt x="449869" y="1086546"/>
                  <a:pt x="454977" y="1087702"/>
                  <a:pt x="478393" y="1103313"/>
                </a:cubicBezTo>
                <a:cubicBezTo>
                  <a:pt x="483685" y="1111250"/>
                  <a:pt x="486819" y="1121166"/>
                  <a:pt x="494268" y="1127125"/>
                </a:cubicBezTo>
                <a:cubicBezTo>
                  <a:pt x="500801" y="1132352"/>
                  <a:pt x="510246" y="1132125"/>
                  <a:pt x="518080" y="1135063"/>
                </a:cubicBezTo>
                <a:cubicBezTo>
                  <a:pt x="531421" y="1140066"/>
                  <a:pt x="544427" y="1145935"/>
                  <a:pt x="557768" y="1150938"/>
                </a:cubicBezTo>
                <a:cubicBezTo>
                  <a:pt x="565602" y="1153876"/>
                  <a:pt x="573890" y="1155579"/>
                  <a:pt x="581580" y="1158875"/>
                </a:cubicBezTo>
                <a:cubicBezTo>
                  <a:pt x="592456" y="1163536"/>
                  <a:pt x="601678" y="1172694"/>
                  <a:pt x="613330" y="1174750"/>
                </a:cubicBezTo>
                <a:cubicBezTo>
                  <a:pt x="647303" y="1180745"/>
                  <a:pt x="682122" y="1180042"/>
                  <a:pt x="716518" y="1182688"/>
                </a:cubicBezTo>
                <a:cubicBezTo>
                  <a:pt x="741667" y="1195262"/>
                  <a:pt x="759411" y="1201768"/>
                  <a:pt x="780018" y="1222375"/>
                </a:cubicBezTo>
                <a:cubicBezTo>
                  <a:pt x="804713" y="1247070"/>
                  <a:pt x="784427" y="1247952"/>
                  <a:pt x="819705" y="1262063"/>
                </a:cubicBezTo>
                <a:cubicBezTo>
                  <a:pt x="824618" y="1264028"/>
                  <a:pt x="830288" y="1262063"/>
                  <a:pt x="835580" y="1262063"/>
                </a:cubicBezTo>
              </a:path>
            </a:pathLst>
          </a:custGeom>
          <a:noFill/>
          <a:ln>
            <a:solidFill>
              <a:srgbClr val="92D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8" name="Forma libre: forma 7">
            <a:extLst>
              <a:ext uri="{FF2B5EF4-FFF2-40B4-BE49-F238E27FC236}">
                <a16:creationId xmlns:a16="http://schemas.microsoft.com/office/drawing/2014/main" id="{7DB4535D-FEF0-42B4-BAAA-9482DD82444D}"/>
              </a:ext>
            </a:extLst>
          </xdr:cNvPr>
          <xdr:cNvSpPr/>
        </xdr:nvSpPr>
        <xdr:spPr>
          <a:xfrm>
            <a:off x="12858750" y="4262438"/>
            <a:ext cx="484188" cy="468312"/>
          </a:xfrm>
          <a:custGeom>
            <a:avLst/>
            <a:gdLst>
              <a:gd name="connsiteX0" fmla="*/ 484188 w 484188"/>
              <a:gd name="connsiteY0" fmla="*/ 0 h 468312"/>
              <a:gd name="connsiteX1" fmla="*/ 444500 w 484188"/>
              <a:gd name="connsiteY1" fmla="*/ 63500 h 468312"/>
              <a:gd name="connsiteX2" fmla="*/ 428625 w 484188"/>
              <a:gd name="connsiteY2" fmla="*/ 87312 h 468312"/>
              <a:gd name="connsiteX3" fmla="*/ 381000 w 484188"/>
              <a:gd name="connsiteY3" fmla="*/ 119062 h 468312"/>
              <a:gd name="connsiteX4" fmla="*/ 333375 w 484188"/>
              <a:gd name="connsiteY4" fmla="*/ 134937 h 468312"/>
              <a:gd name="connsiteX5" fmla="*/ 301625 w 484188"/>
              <a:gd name="connsiteY5" fmla="*/ 293687 h 468312"/>
              <a:gd name="connsiteX6" fmla="*/ 269875 w 484188"/>
              <a:gd name="connsiteY6" fmla="*/ 357187 h 468312"/>
              <a:gd name="connsiteX7" fmla="*/ 238125 w 484188"/>
              <a:gd name="connsiteY7" fmla="*/ 381000 h 468312"/>
              <a:gd name="connsiteX8" fmla="*/ 182563 w 484188"/>
              <a:gd name="connsiteY8" fmla="*/ 428625 h 468312"/>
              <a:gd name="connsiteX9" fmla="*/ 142875 w 484188"/>
              <a:gd name="connsiteY9" fmla="*/ 452437 h 468312"/>
              <a:gd name="connsiteX10" fmla="*/ 0 w 484188"/>
              <a:gd name="connsiteY10" fmla="*/ 468312 h 46831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</a:cxnLst>
            <a:rect l="l" t="t" r="r" b="b"/>
            <a:pathLst>
              <a:path w="484188" h="468312">
                <a:moveTo>
                  <a:pt x="484188" y="0"/>
                </a:moveTo>
                <a:cubicBezTo>
                  <a:pt x="470959" y="21167"/>
                  <a:pt x="457901" y="42442"/>
                  <a:pt x="444500" y="63500"/>
                </a:cubicBezTo>
                <a:cubicBezTo>
                  <a:pt x="439378" y="71548"/>
                  <a:pt x="436562" y="82020"/>
                  <a:pt x="428625" y="87312"/>
                </a:cubicBezTo>
                <a:cubicBezTo>
                  <a:pt x="412750" y="97895"/>
                  <a:pt x="398065" y="110529"/>
                  <a:pt x="381000" y="119062"/>
                </a:cubicBezTo>
                <a:cubicBezTo>
                  <a:pt x="366033" y="126546"/>
                  <a:pt x="349250" y="129645"/>
                  <a:pt x="333375" y="134937"/>
                </a:cubicBezTo>
                <a:cubicBezTo>
                  <a:pt x="291109" y="198338"/>
                  <a:pt x="324643" y="140233"/>
                  <a:pt x="301625" y="293687"/>
                </a:cubicBezTo>
                <a:cubicBezTo>
                  <a:pt x="298762" y="312775"/>
                  <a:pt x="279642" y="346024"/>
                  <a:pt x="269875" y="357187"/>
                </a:cubicBezTo>
                <a:cubicBezTo>
                  <a:pt x="261163" y="367143"/>
                  <a:pt x="248708" y="373062"/>
                  <a:pt x="238125" y="381000"/>
                </a:cubicBezTo>
                <a:cubicBezTo>
                  <a:pt x="224095" y="423093"/>
                  <a:pt x="238691" y="398010"/>
                  <a:pt x="182563" y="428625"/>
                </a:cubicBezTo>
                <a:cubicBezTo>
                  <a:pt x="169019" y="436013"/>
                  <a:pt x="156973" y="446171"/>
                  <a:pt x="142875" y="452437"/>
                </a:cubicBezTo>
                <a:cubicBezTo>
                  <a:pt x="110425" y="466859"/>
                  <a:pt x="1748" y="468187"/>
                  <a:pt x="0" y="468312"/>
                </a:cubicBezTo>
              </a:path>
            </a:pathLst>
          </a:custGeom>
          <a:noFill/>
          <a:ln>
            <a:solidFill>
              <a:srgbClr val="92D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9" name="Forma libre: forma 8">
            <a:extLst>
              <a:ext uri="{FF2B5EF4-FFF2-40B4-BE49-F238E27FC236}">
                <a16:creationId xmlns:a16="http://schemas.microsoft.com/office/drawing/2014/main" id="{637BCD62-C07F-BC27-E57A-7BEEA3C08A03}"/>
              </a:ext>
            </a:extLst>
          </xdr:cNvPr>
          <xdr:cNvSpPr/>
        </xdr:nvSpPr>
        <xdr:spPr>
          <a:xfrm>
            <a:off x="12080875" y="3293196"/>
            <a:ext cx="1190625" cy="842242"/>
          </a:xfrm>
          <a:custGeom>
            <a:avLst/>
            <a:gdLst>
              <a:gd name="connsiteX0" fmla="*/ 1190625 w 1190625"/>
              <a:gd name="connsiteY0" fmla="*/ 842242 h 842242"/>
              <a:gd name="connsiteX1" fmla="*/ 1119188 w 1190625"/>
              <a:gd name="connsiteY1" fmla="*/ 826367 h 842242"/>
              <a:gd name="connsiteX2" fmla="*/ 1063625 w 1190625"/>
              <a:gd name="connsiteY2" fmla="*/ 786679 h 842242"/>
              <a:gd name="connsiteX3" fmla="*/ 1047750 w 1190625"/>
              <a:gd name="connsiteY3" fmla="*/ 762867 h 842242"/>
              <a:gd name="connsiteX4" fmla="*/ 1016000 w 1190625"/>
              <a:gd name="connsiteY4" fmla="*/ 754929 h 842242"/>
              <a:gd name="connsiteX5" fmla="*/ 944563 w 1190625"/>
              <a:gd name="connsiteY5" fmla="*/ 731117 h 842242"/>
              <a:gd name="connsiteX6" fmla="*/ 936625 w 1190625"/>
              <a:gd name="connsiteY6" fmla="*/ 699367 h 842242"/>
              <a:gd name="connsiteX7" fmla="*/ 912813 w 1190625"/>
              <a:gd name="connsiteY7" fmla="*/ 667617 h 842242"/>
              <a:gd name="connsiteX8" fmla="*/ 865188 w 1190625"/>
              <a:gd name="connsiteY8" fmla="*/ 619992 h 842242"/>
              <a:gd name="connsiteX9" fmla="*/ 833438 w 1190625"/>
              <a:gd name="connsiteY9" fmla="*/ 548554 h 842242"/>
              <a:gd name="connsiteX10" fmla="*/ 817563 w 1190625"/>
              <a:gd name="connsiteY10" fmla="*/ 516804 h 842242"/>
              <a:gd name="connsiteX11" fmla="*/ 793750 w 1190625"/>
              <a:gd name="connsiteY11" fmla="*/ 508867 h 842242"/>
              <a:gd name="connsiteX12" fmla="*/ 785813 w 1190625"/>
              <a:gd name="connsiteY12" fmla="*/ 469179 h 842242"/>
              <a:gd name="connsiteX13" fmla="*/ 801688 w 1190625"/>
              <a:gd name="connsiteY13" fmla="*/ 334242 h 842242"/>
              <a:gd name="connsiteX14" fmla="*/ 809625 w 1190625"/>
              <a:gd name="connsiteY14" fmla="*/ 310429 h 842242"/>
              <a:gd name="connsiteX15" fmla="*/ 801688 w 1190625"/>
              <a:gd name="connsiteY15" fmla="*/ 246929 h 842242"/>
              <a:gd name="connsiteX16" fmla="*/ 777875 w 1190625"/>
              <a:gd name="connsiteY16" fmla="*/ 238992 h 842242"/>
              <a:gd name="connsiteX17" fmla="*/ 754063 w 1190625"/>
              <a:gd name="connsiteY17" fmla="*/ 215179 h 842242"/>
              <a:gd name="connsiteX18" fmla="*/ 706438 w 1190625"/>
              <a:gd name="connsiteY18" fmla="*/ 199304 h 842242"/>
              <a:gd name="connsiteX19" fmla="*/ 658813 w 1190625"/>
              <a:gd name="connsiteY19" fmla="*/ 183429 h 842242"/>
              <a:gd name="connsiteX20" fmla="*/ 635000 w 1190625"/>
              <a:gd name="connsiteY20" fmla="*/ 167554 h 842242"/>
              <a:gd name="connsiteX21" fmla="*/ 603250 w 1190625"/>
              <a:gd name="connsiteY21" fmla="*/ 104054 h 842242"/>
              <a:gd name="connsiteX22" fmla="*/ 579438 w 1190625"/>
              <a:gd name="connsiteY22" fmla="*/ 72304 h 842242"/>
              <a:gd name="connsiteX23" fmla="*/ 547688 w 1190625"/>
              <a:gd name="connsiteY23" fmla="*/ 64367 h 842242"/>
              <a:gd name="connsiteX24" fmla="*/ 365125 w 1190625"/>
              <a:gd name="connsiteY24" fmla="*/ 56429 h 842242"/>
              <a:gd name="connsiteX25" fmla="*/ 309563 w 1190625"/>
              <a:gd name="connsiteY25" fmla="*/ 48492 h 842242"/>
              <a:gd name="connsiteX26" fmla="*/ 285750 w 1190625"/>
              <a:gd name="connsiteY26" fmla="*/ 32617 h 842242"/>
              <a:gd name="connsiteX27" fmla="*/ 254000 w 1190625"/>
              <a:gd name="connsiteY27" fmla="*/ 24679 h 842242"/>
              <a:gd name="connsiteX28" fmla="*/ 222250 w 1190625"/>
              <a:gd name="connsiteY28" fmla="*/ 8804 h 842242"/>
              <a:gd name="connsiteX29" fmla="*/ 0 w 1190625"/>
              <a:gd name="connsiteY29" fmla="*/ 867 h 84224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</a:cxnLst>
            <a:rect l="l" t="t" r="r" b="b"/>
            <a:pathLst>
              <a:path w="1190625" h="842242">
                <a:moveTo>
                  <a:pt x="1190625" y="842242"/>
                </a:moveTo>
                <a:cubicBezTo>
                  <a:pt x="1166813" y="836950"/>
                  <a:pt x="1142329" y="834081"/>
                  <a:pt x="1119188" y="826367"/>
                </a:cubicBezTo>
                <a:cubicBezTo>
                  <a:pt x="1112426" y="824113"/>
                  <a:pt x="1064097" y="787151"/>
                  <a:pt x="1063625" y="786679"/>
                </a:cubicBezTo>
                <a:cubicBezTo>
                  <a:pt x="1056880" y="779934"/>
                  <a:pt x="1055687" y="768159"/>
                  <a:pt x="1047750" y="762867"/>
                </a:cubicBezTo>
                <a:cubicBezTo>
                  <a:pt x="1038673" y="756816"/>
                  <a:pt x="1026427" y="758137"/>
                  <a:pt x="1016000" y="754929"/>
                </a:cubicBezTo>
                <a:cubicBezTo>
                  <a:pt x="992010" y="747547"/>
                  <a:pt x="944563" y="731117"/>
                  <a:pt x="944563" y="731117"/>
                </a:cubicBezTo>
                <a:cubicBezTo>
                  <a:pt x="941917" y="720534"/>
                  <a:pt x="941504" y="709124"/>
                  <a:pt x="936625" y="699367"/>
                </a:cubicBezTo>
                <a:cubicBezTo>
                  <a:pt x="930709" y="687535"/>
                  <a:pt x="920502" y="678382"/>
                  <a:pt x="912813" y="667617"/>
                </a:cubicBezTo>
                <a:cubicBezTo>
                  <a:pt x="886029" y="630118"/>
                  <a:pt x="909522" y="653242"/>
                  <a:pt x="865188" y="619992"/>
                </a:cubicBezTo>
                <a:cubicBezTo>
                  <a:pt x="837471" y="536841"/>
                  <a:pt x="863626" y="601384"/>
                  <a:pt x="833438" y="548554"/>
                </a:cubicBezTo>
                <a:cubicBezTo>
                  <a:pt x="827567" y="538280"/>
                  <a:pt x="825930" y="525171"/>
                  <a:pt x="817563" y="516804"/>
                </a:cubicBezTo>
                <a:cubicBezTo>
                  <a:pt x="811647" y="510888"/>
                  <a:pt x="801688" y="511513"/>
                  <a:pt x="793750" y="508867"/>
                </a:cubicBezTo>
                <a:cubicBezTo>
                  <a:pt x="791104" y="495638"/>
                  <a:pt x="785813" y="482670"/>
                  <a:pt x="785813" y="469179"/>
                </a:cubicBezTo>
                <a:cubicBezTo>
                  <a:pt x="785813" y="430204"/>
                  <a:pt x="791337" y="375648"/>
                  <a:pt x="801688" y="334242"/>
                </a:cubicBezTo>
                <a:cubicBezTo>
                  <a:pt x="803717" y="326125"/>
                  <a:pt x="806979" y="318367"/>
                  <a:pt x="809625" y="310429"/>
                </a:cubicBezTo>
                <a:cubicBezTo>
                  <a:pt x="806979" y="289262"/>
                  <a:pt x="810352" y="266422"/>
                  <a:pt x="801688" y="246929"/>
                </a:cubicBezTo>
                <a:cubicBezTo>
                  <a:pt x="798290" y="239283"/>
                  <a:pt x="784837" y="243633"/>
                  <a:pt x="777875" y="238992"/>
                </a:cubicBezTo>
                <a:cubicBezTo>
                  <a:pt x="768535" y="232765"/>
                  <a:pt x="763876" y="220631"/>
                  <a:pt x="754063" y="215179"/>
                </a:cubicBezTo>
                <a:cubicBezTo>
                  <a:pt x="739435" y="207052"/>
                  <a:pt x="722313" y="204596"/>
                  <a:pt x="706438" y="199304"/>
                </a:cubicBezTo>
                <a:cubicBezTo>
                  <a:pt x="690563" y="194012"/>
                  <a:pt x="672736" y="192711"/>
                  <a:pt x="658813" y="183429"/>
                </a:cubicBezTo>
                <a:lnTo>
                  <a:pt x="635000" y="167554"/>
                </a:lnTo>
                <a:cubicBezTo>
                  <a:pt x="564094" y="73011"/>
                  <a:pt x="647834" y="193222"/>
                  <a:pt x="603250" y="104054"/>
                </a:cubicBezTo>
                <a:cubicBezTo>
                  <a:pt x="597334" y="92222"/>
                  <a:pt x="590203" y="79993"/>
                  <a:pt x="579438" y="72304"/>
                </a:cubicBezTo>
                <a:cubicBezTo>
                  <a:pt x="570561" y="65963"/>
                  <a:pt x="558567" y="65173"/>
                  <a:pt x="547688" y="64367"/>
                </a:cubicBezTo>
                <a:cubicBezTo>
                  <a:pt x="486943" y="59867"/>
                  <a:pt x="425979" y="59075"/>
                  <a:pt x="365125" y="56429"/>
                </a:cubicBezTo>
                <a:cubicBezTo>
                  <a:pt x="346604" y="53783"/>
                  <a:pt x="327483" y="53868"/>
                  <a:pt x="309563" y="48492"/>
                </a:cubicBezTo>
                <a:cubicBezTo>
                  <a:pt x="300425" y="45751"/>
                  <a:pt x="294518" y="36375"/>
                  <a:pt x="285750" y="32617"/>
                </a:cubicBezTo>
                <a:cubicBezTo>
                  <a:pt x="275723" y="28320"/>
                  <a:pt x="264214" y="28510"/>
                  <a:pt x="254000" y="24679"/>
                </a:cubicBezTo>
                <a:cubicBezTo>
                  <a:pt x="242921" y="20524"/>
                  <a:pt x="233820" y="11283"/>
                  <a:pt x="222250" y="8804"/>
                </a:cubicBezTo>
                <a:cubicBezTo>
                  <a:pt x="163096" y="-3872"/>
                  <a:pt x="48372" y="867"/>
                  <a:pt x="0" y="867"/>
                </a:cubicBezTo>
              </a:path>
            </a:pathLst>
          </a:custGeom>
          <a:noFill/>
          <a:ln>
            <a:solidFill>
              <a:srgbClr val="92D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10" name="Forma libre: forma 9">
            <a:extLst>
              <a:ext uri="{FF2B5EF4-FFF2-40B4-BE49-F238E27FC236}">
                <a16:creationId xmlns:a16="http://schemas.microsoft.com/office/drawing/2014/main" id="{2245F7B5-3992-FA0D-D8AE-0A992145CDE1}"/>
              </a:ext>
            </a:extLst>
          </xdr:cNvPr>
          <xdr:cNvSpPr/>
        </xdr:nvSpPr>
        <xdr:spPr>
          <a:xfrm>
            <a:off x="19042063" y="4333875"/>
            <a:ext cx="2151062" cy="2357438"/>
          </a:xfrm>
          <a:custGeom>
            <a:avLst/>
            <a:gdLst>
              <a:gd name="connsiteX0" fmla="*/ 2151062 w 2151062"/>
              <a:gd name="connsiteY0" fmla="*/ 2357438 h 2357438"/>
              <a:gd name="connsiteX1" fmla="*/ 2111375 w 2151062"/>
              <a:gd name="connsiteY1" fmla="*/ 2349500 h 2357438"/>
              <a:gd name="connsiteX2" fmla="*/ 2047875 w 2151062"/>
              <a:gd name="connsiteY2" fmla="*/ 2309813 h 2357438"/>
              <a:gd name="connsiteX3" fmla="*/ 2024062 w 2151062"/>
              <a:gd name="connsiteY3" fmla="*/ 2301875 h 2357438"/>
              <a:gd name="connsiteX4" fmla="*/ 1992312 w 2151062"/>
              <a:gd name="connsiteY4" fmla="*/ 2254250 h 2357438"/>
              <a:gd name="connsiteX5" fmla="*/ 1968500 w 2151062"/>
              <a:gd name="connsiteY5" fmla="*/ 2182813 h 2357438"/>
              <a:gd name="connsiteX6" fmla="*/ 1952625 w 2151062"/>
              <a:gd name="connsiteY6" fmla="*/ 2143125 h 2357438"/>
              <a:gd name="connsiteX7" fmla="*/ 1897062 w 2151062"/>
              <a:gd name="connsiteY7" fmla="*/ 2119313 h 2357438"/>
              <a:gd name="connsiteX8" fmla="*/ 1857375 w 2151062"/>
              <a:gd name="connsiteY8" fmla="*/ 2103438 h 2357438"/>
              <a:gd name="connsiteX9" fmla="*/ 1793875 w 2151062"/>
              <a:gd name="connsiteY9" fmla="*/ 2024063 h 2357438"/>
              <a:gd name="connsiteX10" fmla="*/ 1785937 w 2151062"/>
              <a:gd name="connsiteY10" fmla="*/ 1976438 h 2357438"/>
              <a:gd name="connsiteX11" fmla="*/ 1778000 w 2151062"/>
              <a:gd name="connsiteY11" fmla="*/ 1920875 h 2357438"/>
              <a:gd name="connsiteX12" fmla="*/ 1754187 w 2151062"/>
              <a:gd name="connsiteY12" fmla="*/ 1897063 h 2357438"/>
              <a:gd name="connsiteX13" fmla="*/ 1706562 w 2151062"/>
              <a:gd name="connsiteY13" fmla="*/ 1817688 h 2357438"/>
              <a:gd name="connsiteX14" fmla="*/ 1682750 w 2151062"/>
              <a:gd name="connsiteY14" fmla="*/ 1801813 h 2357438"/>
              <a:gd name="connsiteX15" fmla="*/ 1651000 w 2151062"/>
              <a:gd name="connsiteY15" fmla="*/ 1762125 h 2357438"/>
              <a:gd name="connsiteX16" fmla="*/ 1595437 w 2151062"/>
              <a:gd name="connsiteY16" fmla="*/ 1714500 h 2357438"/>
              <a:gd name="connsiteX17" fmla="*/ 1571625 w 2151062"/>
              <a:gd name="connsiteY17" fmla="*/ 1698625 h 2357438"/>
              <a:gd name="connsiteX18" fmla="*/ 1547812 w 2151062"/>
              <a:gd name="connsiteY18" fmla="*/ 1690688 h 2357438"/>
              <a:gd name="connsiteX19" fmla="*/ 1516062 w 2151062"/>
              <a:gd name="connsiteY19" fmla="*/ 1658938 h 2357438"/>
              <a:gd name="connsiteX20" fmla="*/ 1508125 w 2151062"/>
              <a:gd name="connsiteY20" fmla="*/ 1611313 h 2357438"/>
              <a:gd name="connsiteX21" fmla="*/ 1484312 w 2151062"/>
              <a:gd name="connsiteY21" fmla="*/ 1531938 h 2357438"/>
              <a:gd name="connsiteX22" fmla="*/ 1476375 w 2151062"/>
              <a:gd name="connsiteY22" fmla="*/ 1500188 h 2357438"/>
              <a:gd name="connsiteX23" fmla="*/ 1460500 w 2151062"/>
              <a:gd name="connsiteY23" fmla="*/ 1452563 h 2357438"/>
              <a:gd name="connsiteX24" fmla="*/ 1484312 w 2151062"/>
              <a:gd name="connsiteY24" fmla="*/ 1444625 h 2357438"/>
              <a:gd name="connsiteX25" fmla="*/ 1524000 w 2151062"/>
              <a:gd name="connsiteY25" fmla="*/ 1381125 h 2357438"/>
              <a:gd name="connsiteX26" fmla="*/ 1516062 w 2151062"/>
              <a:gd name="connsiteY26" fmla="*/ 1285875 h 2357438"/>
              <a:gd name="connsiteX27" fmla="*/ 1468437 w 2151062"/>
              <a:gd name="connsiteY27" fmla="*/ 1214438 h 2357438"/>
              <a:gd name="connsiteX28" fmla="*/ 1460500 w 2151062"/>
              <a:gd name="connsiteY28" fmla="*/ 1174750 h 2357438"/>
              <a:gd name="connsiteX29" fmla="*/ 1444625 w 2151062"/>
              <a:gd name="connsiteY29" fmla="*/ 1143000 h 2357438"/>
              <a:gd name="connsiteX30" fmla="*/ 1436687 w 2151062"/>
              <a:gd name="connsiteY30" fmla="*/ 1087438 h 2357438"/>
              <a:gd name="connsiteX31" fmla="*/ 1404937 w 2151062"/>
              <a:gd name="connsiteY31" fmla="*/ 944563 h 2357438"/>
              <a:gd name="connsiteX32" fmla="*/ 1373187 w 2151062"/>
              <a:gd name="connsiteY32" fmla="*/ 833438 h 2357438"/>
              <a:gd name="connsiteX33" fmla="*/ 1365250 w 2151062"/>
              <a:gd name="connsiteY33" fmla="*/ 801688 h 2357438"/>
              <a:gd name="connsiteX34" fmla="*/ 1349375 w 2151062"/>
              <a:gd name="connsiteY34" fmla="*/ 777875 h 2357438"/>
              <a:gd name="connsiteX35" fmla="*/ 1317625 w 2151062"/>
              <a:gd name="connsiteY35" fmla="*/ 706438 h 2357438"/>
              <a:gd name="connsiteX36" fmla="*/ 1285875 w 2151062"/>
              <a:gd name="connsiteY36" fmla="*/ 627063 h 2357438"/>
              <a:gd name="connsiteX37" fmla="*/ 1262062 w 2151062"/>
              <a:gd name="connsiteY37" fmla="*/ 603250 h 2357438"/>
              <a:gd name="connsiteX38" fmla="*/ 1230312 w 2151062"/>
              <a:gd name="connsiteY38" fmla="*/ 547688 h 2357438"/>
              <a:gd name="connsiteX39" fmla="*/ 1206500 w 2151062"/>
              <a:gd name="connsiteY39" fmla="*/ 523875 h 2357438"/>
              <a:gd name="connsiteX40" fmla="*/ 1143000 w 2151062"/>
              <a:gd name="connsiteY40" fmla="*/ 515938 h 2357438"/>
              <a:gd name="connsiteX41" fmla="*/ 1119187 w 2151062"/>
              <a:gd name="connsiteY41" fmla="*/ 500063 h 2357438"/>
              <a:gd name="connsiteX42" fmla="*/ 1063625 w 2151062"/>
              <a:gd name="connsiteY42" fmla="*/ 484188 h 2357438"/>
              <a:gd name="connsiteX43" fmla="*/ 1016000 w 2151062"/>
              <a:gd name="connsiteY43" fmla="*/ 468313 h 2357438"/>
              <a:gd name="connsiteX44" fmla="*/ 976312 w 2151062"/>
              <a:gd name="connsiteY44" fmla="*/ 452438 h 2357438"/>
              <a:gd name="connsiteX45" fmla="*/ 928687 w 2151062"/>
              <a:gd name="connsiteY45" fmla="*/ 428625 h 2357438"/>
              <a:gd name="connsiteX46" fmla="*/ 682625 w 2151062"/>
              <a:gd name="connsiteY46" fmla="*/ 412750 h 2357438"/>
              <a:gd name="connsiteX47" fmla="*/ 627062 w 2151062"/>
              <a:gd name="connsiteY47" fmla="*/ 373063 h 2357438"/>
              <a:gd name="connsiteX48" fmla="*/ 595312 w 2151062"/>
              <a:gd name="connsiteY48" fmla="*/ 349250 h 2357438"/>
              <a:gd name="connsiteX49" fmla="*/ 571500 w 2151062"/>
              <a:gd name="connsiteY49" fmla="*/ 333375 h 2357438"/>
              <a:gd name="connsiteX50" fmla="*/ 515937 w 2151062"/>
              <a:gd name="connsiteY50" fmla="*/ 277813 h 2357438"/>
              <a:gd name="connsiteX51" fmla="*/ 508000 w 2151062"/>
              <a:gd name="connsiteY51" fmla="*/ 238125 h 2357438"/>
              <a:gd name="connsiteX52" fmla="*/ 388937 w 2151062"/>
              <a:gd name="connsiteY52" fmla="*/ 190500 h 2357438"/>
              <a:gd name="connsiteX53" fmla="*/ 365125 w 2151062"/>
              <a:gd name="connsiteY53" fmla="*/ 182563 h 2357438"/>
              <a:gd name="connsiteX54" fmla="*/ 293687 w 2151062"/>
              <a:gd name="connsiteY54" fmla="*/ 134938 h 2357438"/>
              <a:gd name="connsiteX55" fmla="*/ 261937 w 2151062"/>
              <a:gd name="connsiteY55" fmla="*/ 127000 h 2357438"/>
              <a:gd name="connsiteX56" fmla="*/ 182562 w 2151062"/>
              <a:gd name="connsiteY56" fmla="*/ 111125 h 2357438"/>
              <a:gd name="connsiteX57" fmla="*/ 71437 w 2151062"/>
              <a:gd name="connsiteY57" fmla="*/ 79375 h 2357438"/>
              <a:gd name="connsiteX58" fmla="*/ 39687 w 2151062"/>
              <a:gd name="connsiteY58" fmla="*/ 63500 h 2357438"/>
              <a:gd name="connsiteX59" fmla="*/ 0 w 2151062"/>
              <a:gd name="connsiteY59" fmla="*/ 0 h 235743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</a:cxnLst>
            <a:rect l="l" t="t" r="r" b="b"/>
            <a:pathLst>
              <a:path w="2151062" h="2357438">
                <a:moveTo>
                  <a:pt x="2151062" y="2357438"/>
                </a:moveTo>
                <a:cubicBezTo>
                  <a:pt x="2137833" y="2354792"/>
                  <a:pt x="2124174" y="2353766"/>
                  <a:pt x="2111375" y="2349500"/>
                </a:cubicBezTo>
                <a:cubicBezTo>
                  <a:pt x="2070652" y="2335925"/>
                  <a:pt x="2085895" y="2331538"/>
                  <a:pt x="2047875" y="2309813"/>
                </a:cubicBezTo>
                <a:cubicBezTo>
                  <a:pt x="2040610" y="2305662"/>
                  <a:pt x="2032000" y="2304521"/>
                  <a:pt x="2024062" y="2301875"/>
                </a:cubicBezTo>
                <a:cubicBezTo>
                  <a:pt x="2013479" y="2286000"/>
                  <a:pt x="1996054" y="2272959"/>
                  <a:pt x="1992312" y="2254250"/>
                </a:cubicBezTo>
                <a:cubicBezTo>
                  <a:pt x="1979784" y="2191606"/>
                  <a:pt x="1992400" y="2236588"/>
                  <a:pt x="1968500" y="2182813"/>
                </a:cubicBezTo>
                <a:cubicBezTo>
                  <a:pt x="1962713" y="2169793"/>
                  <a:pt x="1960907" y="2154719"/>
                  <a:pt x="1952625" y="2143125"/>
                </a:cubicBezTo>
                <a:cubicBezTo>
                  <a:pt x="1939545" y="2124814"/>
                  <a:pt x="1915414" y="2125430"/>
                  <a:pt x="1897062" y="2119313"/>
                </a:cubicBezTo>
                <a:cubicBezTo>
                  <a:pt x="1883545" y="2114807"/>
                  <a:pt x="1870604" y="2108730"/>
                  <a:pt x="1857375" y="2103438"/>
                </a:cubicBezTo>
                <a:cubicBezTo>
                  <a:pt x="1831880" y="2077943"/>
                  <a:pt x="1806614" y="2059094"/>
                  <a:pt x="1793875" y="2024063"/>
                </a:cubicBezTo>
                <a:cubicBezTo>
                  <a:pt x="1788375" y="2008938"/>
                  <a:pt x="1788384" y="1992345"/>
                  <a:pt x="1785937" y="1976438"/>
                </a:cubicBezTo>
                <a:cubicBezTo>
                  <a:pt x="1783092" y="1957947"/>
                  <a:pt x="1784948" y="1938246"/>
                  <a:pt x="1778000" y="1920875"/>
                </a:cubicBezTo>
                <a:cubicBezTo>
                  <a:pt x="1773831" y="1910453"/>
                  <a:pt x="1762125" y="1905000"/>
                  <a:pt x="1754187" y="1897063"/>
                </a:cubicBezTo>
                <a:cubicBezTo>
                  <a:pt x="1744630" y="1877949"/>
                  <a:pt x="1720930" y="1827267"/>
                  <a:pt x="1706562" y="1817688"/>
                </a:cubicBezTo>
                <a:cubicBezTo>
                  <a:pt x="1698625" y="1812396"/>
                  <a:pt x="1689495" y="1808559"/>
                  <a:pt x="1682750" y="1801813"/>
                </a:cubicBezTo>
                <a:cubicBezTo>
                  <a:pt x="1670770" y="1789833"/>
                  <a:pt x="1662156" y="1774875"/>
                  <a:pt x="1651000" y="1762125"/>
                </a:cubicBezTo>
                <a:cubicBezTo>
                  <a:pt x="1631772" y="1740150"/>
                  <a:pt x="1619739" y="1731859"/>
                  <a:pt x="1595437" y="1714500"/>
                </a:cubicBezTo>
                <a:cubicBezTo>
                  <a:pt x="1587674" y="1708955"/>
                  <a:pt x="1580157" y="1702891"/>
                  <a:pt x="1571625" y="1698625"/>
                </a:cubicBezTo>
                <a:cubicBezTo>
                  <a:pt x="1564141" y="1694883"/>
                  <a:pt x="1555750" y="1693334"/>
                  <a:pt x="1547812" y="1690688"/>
                </a:cubicBezTo>
                <a:cubicBezTo>
                  <a:pt x="1537229" y="1680105"/>
                  <a:pt x="1522755" y="1672325"/>
                  <a:pt x="1516062" y="1658938"/>
                </a:cubicBezTo>
                <a:cubicBezTo>
                  <a:pt x="1508865" y="1644543"/>
                  <a:pt x="1511281" y="1627094"/>
                  <a:pt x="1508125" y="1611313"/>
                </a:cubicBezTo>
                <a:cubicBezTo>
                  <a:pt x="1495526" y="1548320"/>
                  <a:pt x="1504560" y="1612935"/>
                  <a:pt x="1484312" y="1531938"/>
                </a:cubicBezTo>
                <a:cubicBezTo>
                  <a:pt x="1481666" y="1521355"/>
                  <a:pt x="1479510" y="1510637"/>
                  <a:pt x="1476375" y="1500188"/>
                </a:cubicBezTo>
                <a:cubicBezTo>
                  <a:pt x="1471567" y="1484160"/>
                  <a:pt x="1460500" y="1452563"/>
                  <a:pt x="1460500" y="1452563"/>
                </a:cubicBezTo>
                <a:cubicBezTo>
                  <a:pt x="1468437" y="1449917"/>
                  <a:pt x="1477885" y="1449981"/>
                  <a:pt x="1484312" y="1444625"/>
                </a:cubicBezTo>
                <a:cubicBezTo>
                  <a:pt x="1501977" y="1429904"/>
                  <a:pt x="1514057" y="1401010"/>
                  <a:pt x="1524000" y="1381125"/>
                </a:cubicBezTo>
                <a:cubicBezTo>
                  <a:pt x="1521354" y="1349375"/>
                  <a:pt x="1523359" y="1316888"/>
                  <a:pt x="1516062" y="1285875"/>
                </a:cubicBezTo>
                <a:cubicBezTo>
                  <a:pt x="1512562" y="1271001"/>
                  <a:pt x="1478252" y="1227524"/>
                  <a:pt x="1468437" y="1214438"/>
                </a:cubicBezTo>
                <a:cubicBezTo>
                  <a:pt x="1465791" y="1201209"/>
                  <a:pt x="1464766" y="1187549"/>
                  <a:pt x="1460500" y="1174750"/>
                </a:cubicBezTo>
                <a:cubicBezTo>
                  <a:pt x="1456758" y="1163525"/>
                  <a:pt x="1447738" y="1154416"/>
                  <a:pt x="1444625" y="1143000"/>
                </a:cubicBezTo>
                <a:cubicBezTo>
                  <a:pt x="1439702" y="1124951"/>
                  <a:pt x="1439605" y="1105918"/>
                  <a:pt x="1436687" y="1087438"/>
                </a:cubicBezTo>
                <a:cubicBezTo>
                  <a:pt x="1419923" y="981267"/>
                  <a:pt x="1430023" y="1019820"/>
                  <a:pt x="1404937" y="944563"/>
                </a:cubicBezTo>
                <a:cubicBezTo>
                  <a:pt x="1391312" y="849181"/>
                  <a:pt x="1407427" y="927598"/>
                  <a:pt x="1373187" y="833438"/>
                </a:cubicBezTo>
                <a:cubicBezTo>
                  <a:pt x="1369459" y="823186"/>
                  <a:pt x="1369547" y="811715"/>
                  <a:pt x="1365250" y="801688"/>
                </a:cubicBezTo>
                <a:cubicBezTo>
                  <a:pt x="1361492" y="792919"/>
                  <a:pt x="1353249" y="786593"/>
                  <a:pt x="1349375" y="777875"/>
                </a:cubicBezTo>
                <a:cubicBezTo>
                  <a:pt x="1311593" y="692865"/>
                  <a:pt x="1353551" y="760326"/>
                  <a:pt x="1317625" y="706438"/>
                </a:cubicBezTo>
                <a:cubicBezTo>
                  <a:pt x="1308910" y="671578"/>
                  <a:pt x="1308827" y="661491"/>
                  <a:pt x="1285875" y="627063"/>
                </a:cubicBezTo>
                <a:cubicBezTo>
                  <a:pt x="1279648" y="617723"/>
                  <a:pt x="1268587" y="612385"/>
                  <a:pt x="1262062" y="603250"/>
                </a:cubicBezTo>
                <a:cubicBezTo>
                  <a:pt x="1223236" y="548894"/>
                  <a:pt x="1267814" y="592691"/>
                  <a:pt x="1230312" y="547688"/>
                </a:cubicBezTo>
                <a:cubicBezTo>
                  <a:pt x="1223126" y="539064"/>
                  <a:pt x="1217049" y="527711"/>
                  <a:pt x="1206500" y="523875"/>
                </a:cubicBezTo>
                <a:cubicBezTo>
                  <a:pt x="1186453" y="516585"/>
                  <a:pt x="1164167" y="518584"/>
                  <a:pt x="1143000" y="515938"/>
                </a:cubicBezTo>
                <a:cubicBezTo>
                  <a:pt x="1135062" y="510646"/>
                  <a:pt x="1127720" y="504329"/>
                  <a:pt x="1119187" y="500063"/>
                </a:cubicBezTo>
                <a:cubicBezTo>
                  <a:pt x="1105843" y="493391"/>
                  <a:pt x="1076349" y="488005"/>
                  <a:pt x="1063625" y="484188"/>
                </a:cubicBezTo>
                <a:cubicBezTo>
                  <a:pt x="1047597" y="479380"/>
                  <a:pt x="1031726" y="474032"/>
                  <a:pt x="1016000" y="468313"/>
                </a:cubicBezTo>
                <a:cubicBezTo>
                  <a:pt x="1002609" y="463444"/>
                  <a:pt x="989056" y="458810"/>
                  <a:pt x="976312" y="452438"/>
                </a:cubicBezTo>
                <a:cubicBezTo>
                  <a:pt x="951160" y="439862"/>
                  <a:pt x="956619" y="432615"/>
                  <a:pt x="928687" y="428625"/>
                </a:cubicBezTo>
                <a:cubicBezTo>
                  <a:pt x="866985" y="419810"/>
                  <a:pt x="728469" y="415042"/>
                  <a:pt x="682625" y="412750"/>
                </a:cubicBezTo>
                <a:cubicBezTo>
                  <a:pt x="578806" y="334888"/>
                  <a:pt x="708349" y="431126"/>
                  <a:pt x="627062" y="373063"/>
                </a:cubicBezTo>
                <a:cubicBezTo>
                  <a:pt x="616297" y="365374"/>
                  <a:pt x="606077" y="356939"/>
                  <a:pt x="595312" y="349250"/>
                </a:cubicBezTo>
                <a:cubicBezTo>
                  <a:pt x="587549" y="343705"/>
                  <a:pt x="578591" y="339757"/>
                  <a:pt x="571500" y="333375"/>
                </a:cubicBezTo>
                <a:cubicBezTo>
                  <a:pt x="552031" y="315853"/>
                  <a:pt x="515937" y="277813"/>
                  <a:pt x="515937" y="277813"/>
                </a:cubicBezTo>
                <a:cubicBezTo>
                  <a:pt x="513291" y="264584"/>
                  <a:pt x="513479" y="250454"/>
                  <a:pt x="508000" y="238125"/>
                </a:cubicBezTo>
                <a:cubicBezTo>
                  <a:pt x="483435" y="182853"/>
                  <a:pt x="452076" y="203128"/>
                  <a:pt x="388937" y="190500"/>
                </a:cubicBezTo>
                <a:cubicBezTo>
                  <a:pt x="380733" y="188859"/>
                  <a:pt x="373062" y="185209"/>
                  <a:pt x="365125" y="182563"/>
                </a:cubicBezTo>
                <a:cubicBezTo>
                  <a:pt x="335949" y="159222"/>
                  <a:pt x="326795" y="147354"/>
                  <a:pt x="293687" y="134938"/>
                </a:cubicBezTo>
                <a:cubicBezTo>
                  <a:pt x="283473" y="131107"/>
                  <a:pt x="272604" y="129286"/>
                  <a:pt x="261937" y="127000"/>
                </a:cubicBezTo>
                <a:cubicBezTo>
                  <a:pt x="235554" y="121346"/>
                  <a:pt x="208902" y="116978"/>
                  <a:pt x="182562" y="111125"/>
                </a:cubicBezTo>
                <a:cubicBezTo>
                  <a:pt x="164251" y="107056"/>
                  <a:pt x="92651" y="89982"/>
                  <a:pt x="71437" y="79375"/>
                </a:cubicBezTo>
                <a:lnTo>
                  <a:pt x="39687" y="63500"/>
                </a:lnTo>
                <a:cubicBezTo>
                  <a:pt x="10967" y="15633"/>
                  <a:pt x="24433" y="36650"/>
                  <a:pt x="0" y="0"/>
                </a:cubicBezTo>
              </a:path>
            </a:pathLst>
          </a:custGeom>
          <a:noFill/>
          <a:ln>
            <a:solidFill>
              <a:srgbClr val="00808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11" name="Forma libre: forma 10">
            <a:extLst>
              <a:ext uri="{FF2B5EF4-FFF2-40B4-BE49-F238E27FC236}">
                <a16:creationId xmlns:a16="http://schemas.microsoft.com/office/drawing/2014/main" id="{15F78CF9-8748-EB29-0DCF-A38D9A2782E5}"/>
              </a:ext>
            </a:extLst>
          </xdr:cNvPr>
          <xdr:cNvSpPr/>
        </xdr:nvSpPr>
        <xdr:spPr>
          <a:xfrm>
            <a:off x="18225083" y="3119438"/>
            <a:ext cx="832855" cy="1222375"/>
          </a:xfrm>
          <a:custGeom>
            <a:avLst/>
            <a:gdLst>
              <a:gd name="connsiteX0" fmla="*/ 832855 w 832855"/>
              <a:gd name="connsiteY0" fmla="*/ 1222375 h 1222375"/>
              <a:gd name="connsiteX1" fmla="*/ 793167 w 832855"/>
              <a:gd name="connsiteY1" fmla="*/ 1206500 h 1222375"/>
              <a:gd name="connsiteX2" fmla="*/ 769355 w 832855"/>
              <a:gd name="connsiteY2" fmla="*/ 1198562 h 1222375"/>
              <a:gd name="connsiteX3" fmla="*/ 721730 w 832855"/>
              <a:gd name="connsiteY3" fmla="*/ 1166812 h 1222375"/>
              <a:gd name="connsiteX4" fmla="*/ 689980 w 832855"/>
              <a:gd name="connsiteY4" fmla="*/ 1143000 h 1222375"/>
              <a:gd name="connsiteX5" fmla="*/ 650292 w 832855"/>
              <a:gd name="connsiteY5" fmla="*/ 1087437 h 1222375"/>
              <a:gd name="connsiteX6" fmla="*/ 602667 w 832855"/>
              <a:gd name="connsiteY6" fmla="*/ 1031875 h 1222375"/>
              <a:gd name="connsiteX7" fmla="*/ 562980 w 832855"/>
              <a:gd name="connsiteY7" fmla="*/ 984250 h 1222375"/>
              <a:gd name="connsiteX8" fmla="*/ 547105 w 832855"/>
              <a:gd name="connsiteY8" fmla="*/ 952500 h 1222375"/>
              <a:gd name="connsiteX9" fmla="*/ 531230 w 832855"/>
              <a:gd name="connsiteY9" fmla="*/ 928687 h 1222375"/>
              <a:gd name="connsiteX10" fmla="*/ 507417 w 832855"/>
              <a:gd name="connsiteY10" fmla="*/ 889000 h 1222375"/>
              <a:gd name="connsiteX11" fmla="*/ 483605 w 832855"/>
              <a:gd name="connsiteY11" fmla="*/ 873125 h 1222375"/>
              <a:gd name="connsiteX12" fmla="*/ 467730 w 832855"/>
              <a:gd name="connsiteY12" fmla="*/ 833437 h 1222375"/>
              <a:gd name="connsiteX13" fmla="*/ 412167 w 832855"/>
              <a:gd name="connsiteY13" fmla="*/ 801687 h 1222375"/>
              <a:gd name="connsiteX14" fmla="*/ 237542 w 832855"/>
              <a:gd name="connsiteY14" fmla="*/ 754062 h 1222375"/>
              <a:gd name="connsiteX15" fmla="*/ 134355 w 832855"/>
              <a:gd name="connsiteY15" fmla="*/ 777875 h 1222375"/>
              <a:gd name="connsiteX16" fmla="*/ 78792 w 832855"/>
              <a:gd name="connsiteY16" fmla="*/ 785812 h 1222375"/>
              <a:gd name="connsiteX17" fmla="*/ 7355 w 832855"/>
              <a:gd name="connsiteY17" fmla="*/ 793750 h 1222375"/>
              <a:gd name="connsiteX18" fmla="*/ 23230 w 832855"/>
              <a:gd name="connsiteY18" fmla="*/ 769937 h 1222375"/>
              <a:gd name="connsiteX19" fmla="*/ 62917 w 832855"/>
              <a:gd name="connsiteY19" fmla="*/ 706437 h 1222375"/>
              <a:gd name="connsiteX20" fmla="*/ 78792 w 832855"/>
              <a:gd name="connsiteY20" fmla="*/ 642937 h 1222375"/>
              <a:gd name="connsiteX21" fmla="*/ 62917 w 832855"/>
              <a:gd name="connsiteY21" fmla="*/ 579437 h 1222375"/>
              <a:gd name="connsiteX22" fmla="*/ 54980 w 832855"/>
              <a:gd name="connsiteY22" fmla="*/ 547687 h 1222375"/>
              <a:gd name="connsiteX23" fmla="*/ 39105 w 832855"/>
              <a:gd name="connsiteY23" fmla="*/ 515937 h 1222375"/>
              <a:gd name="connsiteX24" fmla="*/ 23230 w 832855"/>
              <a:gd name="connsiteY24" fmla="*/ 428625 h 1222375"/>
              <a:gd name="connsiteX25" fmla="*/ 23230 w 832855"/>
              <a:gd name="connsiteY25" fmla="*/ 349250 h 1222375"/>
              <a:gd name="connsiteX26" fmla="*/ 47042 w 832855"/>
              <a:gd name="connsiteY26" fmla="*/ 333375 h 1222375"/>
              <a:gd name="connsiteX27" fmla="*/ 70855 w 832855"/>
              <a:gd name="connsiteY27" fmla="*/ 309562 h 1222375"/>
              <a:gd name="connsiteX28" fmla="*/ 31167 w 832855"/>
              <a:gd name="connsiteY28" fmla="*/ 261937 h 1222375"/>
              <a:gd name="connsiteX29" fmla="*/ 15292 w 832855"/>
              <a:gd name="connsiteY29" fmla="*/ 230187 h 1222375"/>
              <a:gd name="connsiteX30" fmla="*/ 23230 w 832855"/>
              <a:gd name="connsiteY30" fmla="*/ 182562 h 1222375"/>
              <a:gd name="connsiteX31" fmla="*/ 94667 w 832855"/>
              <a:gd name="connsiteY31" fmla="*/ 111125 h 1222375"/>
              <a:gd name="connsiteX32" fmla="*/ 150230 w 832855"/>
              <a:gd name="connsiteY32" fmla="*/ 95250 h 1222375"/>
              <a:gd name="connsiteX33" fmla="*/ 221667 w 832855"/>
              <a:gd name="connsiteY33" fmla="*/ 39687 h 1222375"/>
              <a:gd name="connsiteX34" fmla="*/ 237542 w 832855"/>
              <a:gd name="connsiteY34" fmla="*/ 15875 h 1222375"/>
              <a:gd name="connsiteX35" fmla="*/ 237542 w 832855"/>
              <a:gd name="connsiteY35" fmla="*/ 0 h 122237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</a:cxnLst>
            <a:rect l="l" t="t" r="r" b="b"/>
            <a:pathLst>
              <a:path w="832855" h="1222375">
                <a:moveTo>
                  <a:pt x="832855" y="1222375"/>
                </a:moveTo>
                <a:cubicBezTo>
                  <a:pt x="819626" y="1217083"/>
                  <a:pt x="806508" y="1211503"/>
                  <a:pt x="793167" y="1206500"/>
                </a:cubicBezTo>
                <a:cubicBezTo>
                  <a:pt x="785333" y="1203562"/>
                  <a:pt x="776317" y="1203203"/>
                  <a:pt x="769355" y="1198562"/>
                </a:cubicBezTo>
                <a:cubicBezTo>
                  <a:pt x="709898" y="1158924"/>
                  <a:pt x="778349" y="1185687"/>
                  <a:pt x="721730" y="1166812"/>
                </a:cubicBezTo>
                <a:cubicBezTo>
                  <a:pt x="711147" y="1158875"/>
                  <a:pt x="699334" y="1152354"/>
                  <a:pt x="689980" y="1143000"/>
                </a:cubicBezTo>
                <a:cubicBezTo>
                  <a:pt x="686382" y="1139402"/>
                  <a:pt x="654800" y="1096453"/>
                  <a:pt x="650292" y="1087437"/>
                </a:cubicBezTo>
                <a:cubicBezTo>
                  <a:pt x="623266" y="1033386"/>
                  <a:pt x="652772" y="1056927"/>
                  <a:pt x="602667" y="1031875"/>
                </a:cubicBezTo>
                <a:cubicBezTo>
                  <a:pt x="580780" y="1009987"/>
                  <a:pt x="577713" y="1010033"/>
                  <a:pt x="562980" y="984250"/>
                </a:cubicBezTo>
                <a:cubicBezTo>
                  <a:pt x="557109" y="973977"/>
                  <a:pt x="552976" y="962774"/>
                  <a:pt x="547105" y="952500"/>
                </a:cubicBezTo>
                <a:cubicBezTo>
                  <a:pt x="542372" y="944217"/>
                  <a:pt x="536286" y="936777"/>
                  <a:pt x="531230" y="928687"/>
                </a:cubicBezTo>
                <a:cubicBezTo>
                  <a:pt x="523053" y="915604"/>
                  <a:pt x="517457" y="900714"/>
                  <a:pt x="507417" y="889000"/>
                </a:cubicBezTo>
                <a:cubicBezTo>
                  <a:pt x="501209" y="881757"/>
                  <a:pt x="491542" y="878417"/>
                  <a:pt x="483605" y="873125"/>
                </a:cubicBezTo>
                <a:cubicBezTo>
                  <a:pt x="478313" y="859896"/>
                  <a:pt x="476279" y="844836"/>
                  <a:pt x="467730" y="833437"/>
                </a:cubicBezTo>
                <a:cubicBezTo>
                  <a:pt x="453036" y="813845"/>
                  <a:pt x="433509" y="807964"/>
                  <a:pt x="412167" y="801687"/>
                </a:cubicBezTo>
                <a:cubicBezTo>
                  <a:pt x="305232" y="770235"/>
                  <a:pt x="324161" y="775717"/>
                  <a:pt x="237542" y="754062"/>
                </a:cubicBezTo>
                <a:cubicBezTo>
                  <a:pt x="80123" y="776552"/>
                  <a:pt x="276016" y="745185"/>
                  <a:pt x="134355" y="777875"/>
                </a:cubicBezTo>
                <a:cubicBezTo>
                  <a:pt x="116125" y="782082"/>
                  <a:pt x="97313" y="783166"/>
                  <a:pt x="78792" y="785812"/>
                </a:cubicBezTo>
                <a:cubicBezTo>
                  <a:pt x="58493" y="799345"/>
                  <a:pt x="35872" y="822267"/>
                  <a:pt x="7355" y="793750"/>
                </a:cubicBezTo>
                <a:cubicBezTo>
                  <a:pt x="609" y="787004"/>
                  <a:pt x="18497" y="778220"/>
                  <a:pt x="23230" y="769937"/>
                </a:cubicBezTo>
                <a:cubicBezTo>
                  <a:pt x="58096" y="708922"/>
                  <a:pt x="17388" y="767143"/>
                  <a:pt x="62917" y="706437"/>
                </a:cubicBezTo>
                <a:cubicBezTo>
                  <a:pt x="68209" y="685270"/>
                  <a:pt x="83071" y="664331"/>
                  <a:pt x="78792" y="642937"/>
                </a:cubicBezTo>
                <a:cubicBezTo>
                  <a:pt x="62654" y="562241"/>
                  <a:pt x="79190" y="636394"/>
                  <a:pt x="62917" y="579437"/>
                </a:cubicBezTo>
                <a:cubicBezTo>
                  <a:pt x="59920" y="568948"/>
                  <a:pt x="58810" y="557901"/>
                  <a:pt x="54980" y="547687"/>
                </a:cubicBezTo>
                <a:cubicBezTo>
                  <a:pt x="50825" y="536608"/>
                  <a:pt x="44397" y="526520"/>
                  <a:pt x="39105" y="515937"/>
                </a:cubicBezTo>
                <a:cubicBezTo>
                  <a:pt x="33813" y="486833"/>
                  <a:pt x="31357" y="457068"/>
                  <a:pt x="23230" y="428625"/>
                </a:cubicBezTo>
                <a:cubicBezTo>
                  <a:pt x="9631" y="381029"/>
                  <a:pt x="-21434" y="429646"/>
                  <a:pt x="23230" y="349250"/>
                </a:cubicBezTo>
                <a:cubicBezTo>
                  <a:pt x="27863" y="340911"/>
                  <a:pt x="39714" y="339482"/>
                  <a:pt x="47042" y="333375"/>
                </a:cubicBezTo>
                <a:cubicBezTo>
                  <a:pt x="55666" y="326189"/>
                  <a:pt x="62917" y="317500"/>
                  <a:pt x="70855" y="309562"/>
                </a:cubicBezTo>
                <a:cubicBezTo>
                  <a:pt x="53207" y="256622"/>
                  <a:pt x="78349" y="316983"/>
                  <a:pt x="31167" y="261937"/>
                </a:cubicBezTo>
                <a:cubicBezTo>
                  <a:pt x="23467" y="252953"/>
                  <a:pt x="20584" y="240770"/>
                  <a:pt x="15292" y="230187"/>
                </a:cubicBezTo>
                <a:cubicBezTo>
                  <a:pt x="17938" y="214312"/>
                  <a:pt x="17040" y="197418"/>
                  <a:pt x="23230" y="182562"/>
                </a:cubicBezTo>
                <a:cubicBezTo>
                  <a:pt x="39474" y="143577"/>
                  <a:pt x="58077" y="127387"/>
                  <a:pt x="94667" y="111125"/>
                </a:cubicBezTo>
                <a:cubicBezTo>
                  <a:pt x="140412" y="90794"/>
                  <a:pt x="111559" y="114585"/>
                  <a:pt x="150230" y="95250"/>
                </a:cubicBezTo>
                <a:cubicBezTo>
                  <a:pt x="183879" y="78426"/>
                  <a:pt x="197317" y="68095"/>
                  <a:pt x="221667" y="39687"/>
                </a:cubicBezTo>
                <a:cubicBezTo>
                  <a:pt x="227875" y="32444"/>
                  <a:pt x="233999" y="24732"/>
                  <a:pt x="237542" y="15875"/>
                </a:cubicBezTo>
                <a:cubicBezTo>
                  <a:pt x="239507" y="10962"/>
                  <a:pt x="237542" y="5292"/>
                  <a:pt x="237542" y="0"/>
                </a:cubicBezTo>
              </a:path>
            </a:pathLst>
          </a:custGeom>
          <a:noFill/>
          <a:ln>
            <a:solidFill>
              <a:srgbClr val="00808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12" name="Forma libre: forma 11">
            <a:extLst>
              <a:ext uri="{FF2B5EF4-FFF2-40B4-BE49-F238E27FC236}">
                <a16:creationId xmlns:a16="http://schemas.microsoft.com/office/drawing/2014/main" id="{61635CC7-4AD3-8C90-A9ED-F75FAC3BC8DB}"/>
              </a:ext>
            </a:extLst>
          </xdr:cNvPr>
          <xdr:cNvSpPr/>
        </xdr:nvSpPr>
        <xdr:spPr>
          <a:xfrm>
            <a:off x="17367139" y="3659188"/>
            <a:ext cx="889111" cy="214312"/>
          </a:xfrm>
          <a:custGeom>
            <a:avLst/>
            <a:gdLst>
              <a:gd name="connsiteX0" fmla="*/ 889111 w 889111"/>
              <a:gd name="connsiteY0" fmla="*/ 214312 h 214312"/>
              <a:gd name="connsiteX1" fmla="*/ 833549 w 889111"/>
              <a:gd name="connsiteY1" fmla="*/ 103187 h 214312"/>
              <a:gd name="connsiteX2" fmla="*/ 793861 w 889111"/>
              <a:gd name="connsiteY2" fmla="*/ 87312 h 214312"/>
              <a:gd name="connsiteX3" fmla="*/ 730361 w 889111"/>
              <a:gd name="connsiteY3" fmla="*/ 47625 h 214312"/>
              <a:gd name="connsiteX4" fmla="*/ 706549 w 889111"/>
              <a:gd name="connsiteY4" fmla="*/ 31750 h 214312"/>
              <a:gd name="connsiteX5" fmla="*/ 658924 w 889111"/>
              <a:gd name="connsiteY5" fmla="*/ 15875 h 214312"/>
              <a:gd name="connsiteX6" fmla="*/ 468424 w 889111"/>
              <a:gd name="connsiteY6" fmla="*/ 0 h 214312"/>
              <a:gd name="connsiteX7" fmla="*/ 404924 w 889111"/>
              <a:gd name="connsiteY7" fmla="*/ 23812 h 214312"/>
              <a:gd name="connsiteX8" fmla="*/ 389049 w 889111"/>
              <a:gd name="connsiteY8" fmla="*/ 55562 h 214312"/>
              <a:gd name="connsiteX9" fmla="*/ 365236 w 889111"/>
              <a:gd name="connsiteY9" fmla="*/ 63500 h 214312"/>
              <a:gd name="connsiteX10" fmla="*/ 293799 w 889111"/>
              <a:gd name="connsiteY10" fmla="*/ 79375 h 214312"/>
              <a:gd name="connsiteX11" fmla="*/ 269986 w 889111"/>
              <a:gd name="connsiteY11" fmla="*/ 95250 h 214312"/>
              <a:gd name="connsiteX12" fmla="*/ 206486 w 889111"/>
              <a:gd name="connsiteY12" fmla="*/ 103187 h 214312"/>
              <a:gd name="connsiteX13" fmla="*/ 182674 w 889111"/>
              <a:gd name="connsiteY13" fmla="*/ 111125 h 214312"/>
              <a:gd name="connsiteX14" fmla="*/ 8049 w 889111"/>
              <a:gd name="connsiteY14" fmla="*/ 119062 h 214312"/>
              <a:gd name="connsiteX15" fmla="*/ 111 w 889111"/>
              <a:gd name="connsiteY15" fmla="*/ 158750 h 21431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</a:cxnLst>
            <a:rect l="l" t="t" r="r" b="b"/>
            <a:pathLst>
              <a:path w="889111" h="214312">
                <a:moveTo>
                  <a:pt x="889111" y="214312"/>
                </a:moveTo>
                <a:cubicBezTo>
                  <a:pt x="874312" y="140318"/>
                  <a:pt x="891544" y="137984"/>
                  <a:pt x="833549" y="103187"/>
                </a:cubicBezTo>
                <a:cubicBezTo>
                  <a:pt x="821331" y="95856"/>
                  <a:pt x="807090" y="92604"/>
                  <a:pt x="793861" y="87312"/>
                </a:cubicBezTo>
                <a:cubicBezTo>
                  <a:pt x="766429" y="32448"/>
                  <a:pt x="795587" y="69367"/>
                  <a:pt x="730361" y="47625"/>
                </a:cubicBezTo>
                <a:cubicBezTo>
                  <a:pt x="721311" y="44608"/>
                  <a:pt x="715266" y="35624"/>
                  <a:pt x="706549" y="31750"/>
                </a:cubicBezTo>
                <a:cubicBezTo>
                  <a:pt x="691258" y="24954"/>
                  <a:pt x="674799" y="21167"/>
                  <a:pt x="658924" y="15875"/>
                </a:cubicBezTo>
                <a:cubicBezTo>
                  <a:pt x="582338" y="-9654"/>
                  <a:pt x="643485" y="8336"/>
                  <a:pt x="468424" y="0"/>
                </a:cubicBezTo>
                <a:cubicBezTo>
                  <a:pt x="445808" y="4523"/>
                  <a:pt x="421275" y="4190"/>
                  <a:pt x="404924" y="23812"/>
                </a:cubicBezTo>
                <a:cubicBezTo>
                  <a:pt x="397349" y="32902"/>
                  <a:pt x="397416" y="47195"/>
                  <a:pt x="389049" y="55562"/>
                </a:cubicBezTo>
                <a:cubicBezTo>
                  <a:pt x="383133" y="61478"/>
                  <a:pt x="373281" y="61201"/>
                  <a:pt x="365236" y="63500"/>
                </a:cubicBezTo>
                <a:cubicBezTo>
                  <a:pt x="339091" y="70970"/>
                  <a:pt x="321065" y="73921"/>
                  <a:pt x="293799" y="79375"/>
                </a:cubicBezTo>
                <a:cubicBezTo>
                  <a:pt x="285861" y="84667"/>
                  <a:pt x="279190" y="92740"/>
                  <a:pt x="269986" y="95250"/>
                </a:cubicBezTo>
                <a:cubicBezTo>
                  <a:pt x="249406" y="100863"/>
                  <a:pt x="227473" y="99371"/>
                  <a:pt x="206486" y="103187"/>
                </a:cubicBezTo>
                <a:cubicBezTo>
                  <a:pt x="198254" y="104684"/>
                  <a:pt x="190611" y="108479"/>
                  <a:pt x="182674" y="111125"/>
                </a:cubicBezTo>
                <a:cubicBezTo>
                  <a:pt x="112775" y="101139"/>
                  <a:pt x="91513" y="92979"/>
                  <a:pt x="8049" y="119062"/>
                </a:cubicBezTo>
                <a:cubicBezTo>
                  <a:pt x="-1562" y="122066"/>
                  <a:pt x="111" y="150844"/>
                  <a:pt x="111" y="158750"/>
                </a:cubicBezTo>
              </a:path>
            </a:pathLst>
          </a:cu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13" name="Forma libre: forma 12">
            <a:extLst>
              <a:ext uri="{FF2B5EF4-FFF2-40B4-BE49-F238E27FC236}">
                <a16:creationId xmlns:a16="http://schemas.microsoft.com/office/drawing/2014/main" id="{4C85DD0E-6078-2E6F-4BF0-3EA23A7C5A41}"/>
              </a:ext>
            </a:extLst>
          </xdr:cNvPr>
          <xdr:cNvSpPr/>
        </xdr:nvSpPr>
        <xdr:spPr>
          <a:xfrm>
            <a:off x="15794865" y="2301875"/>
            <a:ext cx="2444750" cy="1095375"/>
          </a:xfrm>
          <a:custGeom>
            <a:avLst/>
            <a:gdLst>
              <a:gd name="connsiteX0" fmla="*/ 2444750 w 2444750"/>
              <a:gd name="connsiteY0" fmla="*/ 1095375 h 1095375"/>
              <a:gd name="connsiteX1" fmla="*/ 2365375 w 2444750"/>
              <a:gd name="connsiteY1" fmla="*/ 1071563 h 1095375"/>
              <a:gd name="connsiteX2" fmla="*/ 2341562 w 2444750"/>
              <a:gd name="connsiteY2" fmla="*/ 1039813 h 1095375"/>
              <a:gd name="connsiteX3" fmla="*/ 2293937 w 2444750"/>
              <a:gd name="connsiteY3" fmla="*/ 1008063 h 1095375"/>
              <a:gd name="connsiteX4" fmla="*/ 2222500 w 2444750"/>
              <a:gd name="connsiteY4" fmla="*/ 976313 h 1095375"/>
              <a:gd name="connsiteX5" fmla="*/ 1992312 w 2444750"/>
              <a:gd name="connsiteY5" fmla="*/ 968375 h 1095375"/>
              <a:gd name="connsiteX6" fmla="*/ 1944687 w 2444750"/>
              <a:gd name="connsiteY6" fmla="*/ 952500 h 1095375"/>
              <a:gd name="connsiteX7" fmla="*/ 1841500 w 2444750"/>
              <a:gd name="connsiteY7" fmla="*/ 857250 h 1095375"/>
              <a:gd name="connsiteX8" fmla="*/ 1809750 w 2444750"/>
              <a:gd name="connsiteY8" fmla="*/ 881063 h 1095375"/>
              <a:gd name="connsiteX9" fmla="*/ 1770062 w 2444750"/>
              <a:gd name="connsiteY9" fmla="*/ 920750 h 1095375"/>
              <a:gd name="connsiteX10" fmla="*/ 1746250 w 2444750"/>
              <a:gd name="connsiteY10" fmla="*/ 865188 h 1095375"/>
              <a:gd name="connsiteX11" fmla="*/ 1698625 w 2444750"/>
              <a:gd name="connsiteY11" fmla="*/ 873125 h 1095375"/>
              <a:gd name="connsiteX12" fmla="*/ 1666875 w 2444750"/>
              <a:gd name="connsiteY12" fmla="*/ 912813 h 1095375"/>
              <a:gd name="connsiteX13" fmla="*/ 1468437 w 2444750"/>
              <a:gd name="connsiteY13" fmla="*/ 912813 h 1095375"/>
              <a:gd name="connsiteX14" fmla="*/ 1436687 w 2444750"/>
              <a:gd name="connsiteY14" fmla="*/ 865188 h 1095375"/>
              <a:gd name="connsiteX15" fmla="*/ 1412875 w 2444750"/>
              <a:gd name="connsiteY15" fmla="*/ 793750 h 1095375"/>
              <a:gd name="connsiteX16" fmla="*/ 1404937 w 2444750"/>
              <a:gd name="connsiteY16" fmla="*/ 769938 h 1095375"/>
              <a:gd name="connsiteX17" fmla="*/ 1381125 w 2444750"/>
              <a:gd name="connsiteY17" fmla="*/ 754063 h 1095375"/>
              <a:gd name="connsiteX18" fmla="*/ 1309687 w 2444750"/>
              <a:gd name="connsiteY18" fmla="*/ 658813 h 1095375"/>
              <a:gd name="connsiteX19" fmla="*/ 1277937 w 2444750"/>
              <a:gd name="connsiteY19" fmla="*/ 571500 h 1095375"/>
              <a:gd name="connsiteX20" fmla="*/ 1262062 w 2444750"/>
              <a:gd name="connsiteY20" fmla="*/ 547688 h 1095375"/>
              <a:gd name="connsiteX21" fmla="*/ 1254125 w 2444750"/>
              <a:gd name="connsiteY21" fmla="*/ 508000 h 1095375"/>
              <a:gd name="connsiteX22" fmla="*/ 1222375 w 2444750"/>
              <a:gd name="connsiteY22" fmla="*/ 492125 h 1095375"/>
              <a:gd name="connsiteX23" fmla="*/ 1206500 w 2444750"/>
              <a:gd name="connsiteY23" fmla="*/ 468313 h 1095375"/>
              <a:gd name="connsiteX24" fmla="*/ 1182687 w 2444750"/>
              <a:gd name="connsiteY24" fmla="*/ 444500 h 1095375"/>
              <a:gd name="connsiteX25" fmla="*/ 1174750 w 2444750"/>
              <a:gd name="connsiteY25" fmla="*/ 420688 h 1095375"/>
              <a:gd name="connsiteX26" fmla="*/ 1127125 w 2444750"/>
              <a:gd name="connsiteY26" fmla="*/ 357188 h 1095375"/>
              <a:gd name="connsiteX27" fmla="*/ 1103312 w 2444750"/>
              <a:gd name="connsiteY27" fmla="*/ 325438 h 1095375"/>
              <a:gd name="connsiteX28" fmla="*/ 1071562 w 2444750"/>
              <a:gd name="connsiteY28" fmla="*/ 285750 h 1095375"/>
              <a:gd name="connsiteX29" fmla="*/ 1039812 w 2444750"/>
              <a:gd name="connsiteY29" fmla="*/ 238125 h 1095375"/>
              <a:gd name="connsiteX30" fmla="*/ 889000 w 2444750"/>
              <a:gd name="connsiteY30" fmla="*/ 222250 h 1095375"/>
              <a:gd name="connsiteX31" fmla="*/ 777875 w 2444750"/>
              <a:gd name="connsiteY31" fmla="*/ 190500 h 1095375"/>
              <a:gd name="connsiteX32" fmla="*/ 746125 w 2444750"/>
              <a:gd name="connsiteY32" fmla="*/ 182563 h 1095375"/>
              <a:gd name="connsiteX33" fmla="*/ 666750 w 2444750"/>
              <a:gd name="connsiteY33" fmla="*/ 174625 h 1095375"/>
              <a:gd name="connsiteX34" fmla="*/ 619125 w 2444750"/>
              <a:gd name="connsiteY34" fmla="*/ 158750 h 1095375"/>
              <a:gd name="connsiteX35" fmla="*/ 579437 w 2444750"/>
              <a:gd name="connsiteY35" fmla="*/ 134938 h 1095375"/>
              <a:gd name="connsiteX36" fmla="*/ 484187 w 2444750"/>
              <a:gd name="connsiteY36" fmla="*/ 142875 h 1095375"/>
              <a:gd name="connsiteX37" fmla="*/ 460375 w 2444750"/>
              <a:gd name="connsiteY37" fmla="*/ 158750 h 1095375"/>
              <a:gd name="connsiteX38" fmla="*/ 412750 w 2444750"/>
              <a:gd name="connsiteY38" fmla="*/ 174625 h 1095375"/>
              <a:gd name="connsiteX39" fmla="*/ 333375 w 2444750"/>
              <a:gd name="connsiteY39" fmla="*/ 158750 h 1095375"/>
              <a:gd name="connsiteX40" fmla="*/ 309562 w 2444750"/>
              <a:gd name="connsiteY40" fmla="*/ 142875 h 1095375"/>
              <a:gd name="connsiteX41" fmla="*/ 166687 w 2444750"/>
              <a:gd name="connsiteY41" fmla="*/ 134938 h 1095375"/>
              <a:gd name="connsiteX42" fmla="*/ 119062 w 2444750"/>
              <a:gd name="connsiteY42" fmla="*/ 95250 h 1095375"/>
              <a:gd name="connsiteX43" fmla="*/ 63500 w 2444750"/>
              <a:gd name="connsiteY43" fmla="*/ 47625 h 1095375"/>
              <a:gd name="connsiteX44" fmla="*/ 47625 w 2444750"/>
              <a:gd name="connsiteY44" fmla="*/ 23813 h 1095375"/>
              <a:gd name="connsiteX45" fmla="*/ 7937 w 2444750"/>
              <a:gd name="connsiteY45" fmla="*/ 7938 h 1095375"/>
              <a:gd name="connsiteX46" fmla="*/ 0 w 2444750"/>
              <a:gd name="connsiteY46" fmla="*/ 0 h 109537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</a:cxnLst>
            <a:rect l="l" t="t" r="r" b="b"/>
            <a:pathLst>
              <a:path w="2444750" h="1095375">
                <a:moveTo>
                  <a:pt x="2444750" y="1095375"/>
                </a:moveTo>
                <a:cubicBezTo>
                  <a:pt x="2417917" y="1090903"/>
                  <a:pt x="2387652" y="1090658"/>
                  <a:pt x="2365375" y="1071563"/>
                </a:cubicBezTo>
                <a:cubicBezTo>
                  <a:pt x="2355331" y="1062954"/>
                  <a:pt x="2351450" y="1048602"/>
                  <a:pt x="2341562" y="1039813"/>
                </a:cubicBezTo>
                <a:cubicBezTo>
                  <a:pt x="2327302" y="1027137"/>
                  <a:pt x="2309812" y="1018646"/>
                  <a:pt x="2293937" y="1008063"/>
                </a:cubicBezTo>
                <a:cubicBezTo>
                  <a:pt x="2269972" y="992086"/>
                  <a:pt x="2255020" y="979100"/>
                  <a:pt x="2222500" y="976313"/>
                </a:cubicBezTo>
                <a:cubicBezTo>
                  <a:pt x="2146006" y="969756"/>
                  <a:pt x="2069041" y="971021"/>
                  <a:pt x="1992312" y="968375"/>
                </a:cubicBezTo>
                <a:cubicBezTo>
                  <a:pt x="1976437" y="963083"/>
                  <a:pt x="1958877" y="961369"/>
                  <a:pt x="1944687" y="952500"/>
                </a:cubicBezTo>
                <a:cubicBezTo>
                  <a:pt x="1877143" y="910285"/>
                  <a:pt x="1876989" y="904570"/>
                  <a:pt x="1841500" y="857250"/>
                </a:cubicBezTo>
                <a:cubicBezTo>
                  <a:pt x="1830917" y="865188"/>
                  <a:pt x="1817439" y="870298"/>
                  <a:pt x="1809750" y="881063"/>
                </a:cubicBezTo>
                <a:cubicBezTo>
                  <a:pt x="1775240" y="929378"/>
                  <a:pt x="1836322" y="904186"/>
                  <a:pt x="1770062" y="920750"/>
                </a:cubicBezTo>
                <a:cubicBezTo>
                  <a:pt x="1766970" y="911472"/>
                  <a:pt x="1753724" y="867991"/>
                  <a:pt x="1746250" y="865188"/>
                </a:cubicBezTo>
                <a:cubicBezTo>
                  <a:pt x="1731181" y="859537"/>
                  <a:pt x="1714500" y="870479"/>
                  <a:pt x="1698625" y="873125"/>
                </a:cubicBezTo>
                <a:cubicBezTo>
                  <a:pt x="1688042" y="886354"/>
                  <a:pt x="1681168" y="903717"/>
                  <a:pt x="1666875" y="912813"/>
                </a:cubicBezTo>
                <a:cubicBezTo>
                  <a:pt x="1612917" y="947150"/>
                  <a:pt x="1511844" y="917636"/>
                  <a:pt x="1468437" y="912813"/>
                </a:cubicBezTo>
                <a:cubicBezTo>
                  <a:pt x="1457854" y="896938"/>
                  <a:pt x="1440429" y="883897"/>
                  <a:pt x="1436687" y="865188"/>
                </a:cubicBezTo>
                <a:cubicBezTo>
                  <a:pt x="1423308" y="798290"/>
                  <a:pt x="1437521" y="851256"/>
                  <a:pt x="1412875" y="793750"/>
                </a:cubicBezTo>
                <a:cubicBezTo>
                  <a:pt x="1409579" y="786060"/>
                  <a:pt x="1410164" y="776471"/>
                  <a:pt x="1404937" y="769938"/>
                </a:cubicBezTo>
                <a:cubicBezTo>
                  <a:pt x="1398978" y="762489"/>
                  <a:pt x="1389062" y="759355"/>
                  <a:pt x="1381125" y="754063"/>
                </a:cubicBezTo>
                <a:cubicBezTo>
                  <a:pt x="1327273" y="673285"/>
                  <a:pt x="1353737" y="702861"/>
                  <a:pt x="1309687" y="658813"/>
                </a:cubicBezTo>
                <a:cubicBezTo>
                  <a:pt x="1299399" y="617659"/>
                  <a:pt x="1301363" y="618351"/>
                  <a:pt x="1277937" y="571500"/>
                </a:cubicBezTo>
                <a:cubicBezTo>
                  <a:pt x="1273671" y="562968"/>
                  <a:pt x="1267354" y="555625"/>
                  <a:pt x="1262062" y="547688"/>
                </a:cubicBezTo>
                <a:cubicBezTo>
                  <a:pt x="1259416" y="534459"/>
                  <a:pt x="1261967" y="518978"/>
                  <a:pt x="1254125" y="508000"/>
                </a:cubicBezTo>
                <a:cubicBezTo>
                  <a:pt x="1247248" y="498371"/>
                  <a:pt x="1231465" y="499700"/>
                  <a:pt x="1222375" y="492125"/>
                </a:cubicBezTo>
                <a:cubicBezTo>
                  <a:pt x="1215046" y="486018"/>
                  <a:pt x="1212607" y="475641"/>
                  <a:pt x="1206500" y="468313"/>
                </a:cubicBezTo>
                <a:cubicBezTo>
                  <a:pt x="1199314" y="459689"/>
                  <a:pt x="1190625" y="452438"/>
                  <a:pt x="1182687" y="444500"/>
                </a:cubicBezTo>
                <a:cubicBezTo>
                  <a:pt x="1180041" y="436563"/>
                  <a:pt x="1179242" y="427747"/>
                  <a:pt x="1174750" y="420688"/>
                </a:cubicBezTo>
                <a:cubicBezTo>
                  <a:pt x="1160545" y="398366"/>
                  <a:pt x="1143000" y="378355"/>
                  <a:pt x="1127125" y="357188"/>
                </a:cubicBezTo>
                <a:cubicBezTo>
                  <a:pt x="1119187" y="346605"/>
                  <a:pt x="1111434" y="335881"/>
                  <a:pt x="1103312" y="325438"/>
                </a:cubicBezTo>
                <a:cubicBezTo>
                  <a:pt x="1092911" y="312065"/>
                  <a:pt x="1080960" y="299846"/>
                  <a:pt x="1071562" y="285750"/>
                </a:cubicBezTo>
                <a:cubicBezTo>
                  <a:pt x="1060979" y="269875"/>
                  <a:pt x="1058632" y="241261"/>
                  <a:pt x="1039812" y="238125"/>
                </a:cubicBezTo>
                <a:cubicBezTo>
                  <a:pt x="958159" y="224517"/>
                  <a:pt x="1008234" y="231422"/>
                  <a:pt x="889000" y="222250"/>
                </a:cubicBezTo>
                <a:cubicBezTo>
                  <a:pt x="820680" y="199477"/>
                  <a:pt x="857604" y="210432"/>
                  <a:pt x="777875" y="190500"/>
                </a:cubicBezTo>
                <a:cubicBezTo>
                  <a:pt x="767292" y="187854"/>
                  <a:pt x="756980" y="183649"/>
                  <a:pt x="746125" y="182563"/>
                </a:cubicBezTo>
                <a:lnTo>
                  <a:pt x="666750" y="174625"/>
                </a:lnTo>
                <a:cubicBezTo>
                  <a:pt x="650875" y="169333"/>
                  <a:pt x="634359" y="165674"/>
                  <a:pt x="619125" y="158750"/>
                </a:cubicBezTo>
                <a:cubicBezTo>
                  <a:pt x="605080" y="152366"/>
                  <a:pt x="594759" y="136741"/>
                  <a:pt x="579437" y="134938"/>
                </a:cubicBezTo>
                <a:cubicBezTo>
                  <a:pt x="547795" y="131215"/>
                  <a:pt x="515937" y="140229"/>
                  <a:pt x="484187" y="142875"/>
                </a:cubicBezTo>
                <a:cubicBezTo>
                  <a:pt x="476250" y="148167"/>
                  <a:pt x="469092" y="154876"/>
                  <a:pt x="460375" y="158750"/>
                </a:cubicBezTo>
                <a:cubicBezTo>
                  <a:pt x="445084" y="165546"/>
                  <a:pt x="412750" y="174625"/>
                  <a:pt x="412750" y="174625"/>
                </a:cubicBezTo>
                <a:cubicBezTo>
                  <a:pt x="392267" y="171699"/>
                  <a:pt x="355544" y="169835"/>
                  <a:pt x="333375" y="158750"/>
                </a:cubicBezTo>
                <a:cubicBezTo>
                  <a:pt x="324842" y="154484"/>
                  <a:pt x="319006" y="144224"/>
                  <a:pt x="309562" y="142875"/>
                </a:cubicBezTo>
                <a:cubicBezTo>
                  <a:pt x="262343" y="136130"/>
                  <a:pt x="214312" y="137584"/>
                  <a:pt x="166687" y="134938"/>
                </a:cubicBezTo>
                <a:cubicBezTo>
                  <a:pt x="126034" y="121386"/>
                  <a:pt x="154679" y="135955"/>
                  <a:pt x="119062" y="95250"/>
                </a:cubicBezTo>
                <a:cubicBezTo>
                  <a:pt x="92115" y="64454"/>
                  <a:pt x="92405" y="66895"/>
                  <a:pt x="63500" y="47625"/>
                </a:cubicBezTo>
                <a:cubicBezTo>
                  <a:pt x="58208" y="39688"/>
                  <a:pt x="55388" y="29358"/>
                  <a:pt x="47625" y="23813"/>
                </a:cubicBezTo>
                <a:cubicBezTo>
                  <a:pt x="36031" y="15531"/>
                  <a:pt x="20681" y="14310"/>
                  <a:pt x="7937" y="7938"/>
                </a:cubicBezTo>
                <a:cubicBezTo>
                  <a:pt x="4590" y="6265"/>
                  <a:pt x="2646" y="2646"/>
                  <a:pt x="0" y="0"/>
                </a:cubicBezTo>
              </a:path>
            </a:pathLst>
          </a:custGeom>
          <a:noFill/>
          <a:ln>
            <a:solidFill>
              <a:srgbClr val="00808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14" name="Forma libre: forma 13">
            <a:extLst>
              <a:ext uri="{FF2B5EF4-FFF2-40B4-BE49-F238E27FC236}">
                <a16:creationId xmlns:a16="http://schemas.microsoft.com/office/drawing/2014/main" id="{597F03C6-08EB-BAFD-9E24-69ED64B5FEB6}"/>
              </a:ext>
            </a:extLst>
          </xdr:cNvPr>
          <xdr:cNvSpPr/>
        </xdr:nvSpPr>
        <xdr:spPr>
          <a:xfrm>
            <a:off x="14936854" y="2916760"/>
            <a:ext cx="1322864" cy="1051990"/>
          </a:xfrm>
          <a:custGeom>
            <a:avLst/>
            <a:gdLst>
              <a:gd name="connsiteX0" fmla="*/ 1222375 w 1322864"/>
              <a:gd name="connsiteY0" fmla="*/ 1051990 h 1051990"/>
              <a:gd name="connsiteX1" fmla="*/ 1222375 w 1322864"/>
              <a:gd name="connsiteY1" fmla="*/ 948803 h 1051990"/>
              <a:gd name="connsiteX2" fmla="*/ 1238250 w 1322864"/>
              <a:gd name="connsiteY2" fmla="*/ 924990 h 1051990"/>
              <a:gd name="connsiteX3" fmla="*/ 1254125 w 1322864"/>
              <a:gd name="connsiteY3" fmla="*/ 893240 h 1051990"/>
              <a:gd name="connsiteX4" fmla="*/ 1246188 w 1322864"/>
              <a:gd name="connsiteY4" fmla="*/ 829740 h 1051990"/>
              <a:gd name="connsiteX5" fmla="*/ 1198563 w 1322864"/>
              <a:gd name="connsiteY5" fmla="*/ 821803 h 1051990"/>
              <a:gd name="connsiteX6" fmla="*/ 1182688 w 1322864"/>
              <a:gd name="connsiteY6" fmla="*/ 782115 h 1051990"/>
              <a:gd name="connsiteX7" fmla="*/ 1190625 w 1322864"/>
              <a:gd name="connsiteY7" fmla="*/ 750365 h 1051990"/>
              <a:gd name="connsiteX8" fmla="*/ 1238250 w 1322864"/>
              <a:gd name="connsiteY8" fmla="*/ 742428 h 1051990"/>
              <a:gd name="connsiteX9" fmla="*/ 1277938 w 1322864"/>
              <a:gd name="connsiteY9" fmla="*/ 734490 h 1051990"/>
              <a:gd name="connsiteX10" fmla="*/ 1301750 w 1322864"/>
              <a:gd name="connsiteY10" fmla="*/ 718615 h 1051990"/>
              <a:gd name="connsiteX11" fmla="*/ 1301750 w 1322864"/>
              <a:gd name="connsiteY11" fmla="*/ 607490 h 1051990"/>
              <a:gd name="connsiteX12" fmla="*/ 1166813 w 1322864"/>
              <a:gd name="connsiteY12" fmla="*/ 599553 h 1051990"/>
              <a:gd name="connsiteX13" fmla="*/ 1150938 w 1322864"/>
              <a:gd name="connsiteY13" fmla="*/ 528115 h 1051990"/>
              <a:gd name="connsiteX14" fmla="*/ 1182688 w 1322864"/>
              <a:gd name="connsiteY14" fmla="*/ 520178 h 1051990"/>
              <a:gd name="connsiteX15" fmla="*/ 1230313 w 1322864"/>
              <a:gd name="connsiteY15" fmla="*/ 480490 h 1051990"/>
              <a:gd name="connsiteX16" fmla="*/ 1238250 w 1322864"/>
              <a:gd name="connsiteY16" fmla="*/ 448740 h 1051990"/>
              <a:gd name="connsiteX17" fmla="*/ 1246188 w 1322864"/>
              <a:gd name="connsiteY17" fmla="*/ 424928 h 1051990"/>
              <a:gd name="connsiteX18" fmla="*/ 1238250 w 1322864"/>
              <a:gd name="connsiteY18" fmla="*/ 393178 h 1051990"/>
              <a:gd name="connsiteX19" fmla="*/ 1214438 w 1322864"/>
              <a:gd name="connsiteY19" fmla="*/ 385240 h 1051990"/>
              <a:gd name="connsiteX20" fmla="*/ 1182688 w 1322864"/>
              <a:gd name="connsiteY20" fmla="*/ 377303 h 1051990"/>
              <a:gd name="connsiteX21" fmla="*/ 1174750 w 1322864"/>
              <a:gd name="connsiteY21" fmla="*/ 353490 h 1051990"/>
              <a:gd name="connsiteX22" fmla="*/ 1143000 w 1322864"/>
              <a:gd name="connsiteY22" fmla="*/ 337615 h 1051990"/>
              <a:gd name="connsiteX23" fmla="*/ 1103313 w 1322864"/>
              <a:gd name="connsiteY23" fmla="*/ 313803 h 1051990"/>
              <a:gd name="connsiteX24" fmla="*/ 1055688 w 1322864"/>
              <a:gd name="connsiteY24" fmla="*/ 289990 h 1051990"/>
              <a:gd name="connsiteX25" fmla="*/ 1008063 w 1322864"/>
              <a:gd name="connsiteY25" fmla="*/ 266178 h 1051990"/>
              <a:gd name="connsiteX26" fmla="*/ 976313 w 1322864"/>
              <a:gd name="connsiteY26" fmla="*/ 258240 h 1051990"/>
              <a:gd name="connsiteX27" fmla="*/ 849313 w 1322864"/>
              <a:gd name="connsiteY27" fmla="*/ 242365 h 1051990"/>
              <a:gd name="connsiteX28" fmla="*/ 817563 w 1322864"/>
              <a:gd name="connsiteY28" fmla="*/ 234428 h 1051990"/>
              <a:gd name="connsiteX29" fmla="*/ 793750 w 1322864"/>
              <a:gd name="connsiteY29" fmla="*/ 226490 h 1051990"/>
              <a:gd name="connsiteX30" fmla="*/ 769938 w 1322864"/>
              <a:gd name="connsiteY30" fmla="*/ 178865 h 1051990"/>
              <a:gd name="connsiteX31" fmla="*/ 738188 w 1322864"/>
              <a:gd name="connsiteY31" fmla="*/ 139178 h 1051990"/>
              <a:gd name="connsiteX32" fmla="*/ 682625 w 1322864"/>
              <a:gd name="connsiteY32" fmla="*/ 91553 h 1051990"/>
              <a:gd name="connsiteX33" fmla="*/ 460375 w 1322864"/>
              <a:gd name="connsiteY33" fmla="*/ 67740 h 1051990"/>
              <a:gd name="connsiteX34" fmla="*/ 396875 w 1322864"/>
              <a:gd name="connsiteY34" fmla="*/ 43928 h 1051990"/>
              <a:gd name="connsiteX35" fmla="*/ 357188 w 1322864"/>
              <a:gd name="connsiteY35" fmla="*/ 35990 h 1051990"/>
              <a:gd name="connsiteX36" fmla="*/ 198438 w 1322864"/>
              <a:gd name="connsiteY36" fmla="*/ 20115 h 1051990"/>
              <a:gd name="connsiteX37" fmla="*/ 55563 w 1322864"/>
              <a:gd name="connsiteY37" fmla="*/ 12178 h 1051990"/>
              <a:gd name="connsiteX38" fmla="*/ 0 w 1322864"/>
              <a:gd name="connsiteY38" fmla="*/ 20115 h 10519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</a:cxnLst>
            <a:rect l="l" t="t" r="r" b="b"/>
            <a:pathLst>
              <a:path w="1322864" h="1051990">
                <a:moveTo>
                  <a:pt x="1222375" y="1051990"/>
                </a:moveTo>
                <a:cubicBezTo>
                  <a:pt x="1214814" y="1006622"/>
                  <a:pt x="1208150" y="996222"/>
                  <a:pt x="1222375" y="948803"/>
                </a:cubicBezTo>
                <a:cubicBezTo>
                  <a:pt x="1225116" y="939665"/>
                  <a:pt x="1233517" y="933273"/>
                  <a:pt x="1238250" y="924990"/>
                </a:cubicBezTo>
                <a:cubicBezTo>
                  <a:pt x="1244121" y="914716"/>
                  <a:pt x="1248833" y="903823"/>
                  <a:pt x="1254125" y="893240"/>
                </a:cubicBezTo>
                <a:cubicBezTo>
                  <a:pt x="1251479" y="872073"/>
                  <a:pt x="1259284" y="846578"/>
                  <a:pt x="1246188" y="829740"/>
                </a:cubicBezTo>
                <a:cubicBezTo>
                  <a:pt x="1236307" y="817036"/>
                  <a:pt x="1211438" y="831459"/>
                  <a:pt x="1198563" y="821803"/>
                </a:cubicBezTo>
                <a:cubicBezTo>
                  <a:pt x="1187164" y="813254"/>
                  <a:pt x="1187980" y="795344"/>
                  <a:pt x="1182688" y="782115"/>
                </a:cubicBezTo>
                <a:cubicBezTo>
                  <a:pt x="1185334" y="771532"/>
                  <a:pt x="1181748" y="756706"/>
                  <a:pt x="1190625" y="750365"/>
                </a:cubicBezTo>
                <a:cubicBezTo>
                  <a:pt x="1203721" y="741011"/>
                  <a:pt x="1222416" y="745307"/>
                  <a:pt x="1238250" y="742428"/>
                </a:cubicBezTo>
                <a:cubicBezTo>
                  <a:pt x="1251524" y="740015"/>
                  <a:pt x="1264709" y="737136"/>
                  <a:pt x="1277938" y="734490"/>
                </a:cubicBezTo>
                <a:cubicBezTo>
                  <a:pt x="1285875" y="729198"/>
                  <a:pt x="1295643" y="725944"/>
                  <a:pt x="1301750" y="718615"/>
                </a:cubicBezTo>
                <a:cubicBezTo>
                  <a:pt x="1322427" y="693802"/>
                  <a:pt x="1336512" y="627615"/>
                  <a:pt x="1301750" y="607490"/>
                </a:cubicBezTo>
                <a:cubicBezTo>
                  <a:pt x="1262757" y="584915"/>
                  <a:pt x="1211792" y="602199"/>
                  <a:pt x="1166813" y="599553"/>
                </a:cubicBezTo>
                <a:cubicBezTo>
                  <a:pt x="1144698" y="577438"/>
                  <a:pt x="1122404" y="568062"/>
                  <a:pt x="1150938" y="528115"/>
                </a:cubicBezTo>
                <a:cubicBezTo>
                  <a:pt x="1157279" y="519238"/>
                  <a:pt x="1172105" y="522824"/>
                  <a:pt x="1182688" y="520178"/>
                </a:cubicBezTo>
                <a:cubicBezTo>
                  <a:pt x="1197861" y="510062"/>
                  <a:pt x="1220911" y="496944"/>
                  <a:pt x="1230313" y="480490"/>
                </a:cubicBezTo>
                <a:cubicBezTo>
                  <a:pt x="1235725" y="471018"/>
                  <a:pt x="1235253" y="459229"/>
                  <a:pt x="1238250" y="448740"/>
                </a:cubicBezTo>
                <a:cubicBezTo>
                  <a:pt x="1240549" y="440695"/>
                  <a:pt x="1243542" y="432865"/>
                  <a:pt x="1246188" y="424928"/>
                </a:cubicBezTo>
                <a:cubicBezTo>
                  <a:pt x="1243542" y="414345"/>
                  <a:pt x="1245065" y="401697"/>
                  <a:pt x="1238250" y="393178"/>
                </a:cubicBezTo>
                <a:cubicBezTo>
                  <a:pt x="1233023" y="386645"/>
                  <a:pt x="1222483" y="387539"/>
                  <a:pt x="1214438" y="385240"/>
                </a:cubicBezTo>
                <a:cubicBezTo>
                  <a:pt x="1203949" y="382243"/>
                  <a:pt x="1193271" y="379949"/>
                  <a:pt x="1182688" y="377303"/>
                </a:cubicBezTo>
                <a:cubicBezTo>
                  <a:pt x="1180042" y="369365"/>
                  <a:pt x="1180666" y="359406"/>
                  <a:pt x="1174750" y="353490"/>
                </a:cubicBezTo>
                <a:cubicBezTo>
                  <a:pt x="1166383" y="345123"/>
                  <a:pt x="1153344" y="343361"/>
                  <a:pt x="1143000" y="337615"/>
                </a:cubicBezTo>
                <a:cubicBezTo>
                  <a:pt x="1129514" y="330123"/>
                  <a:pt x="1116396" y="321979"/>
                  <a:pt x="1103313" y="313803"/>
                </a:cubicBezTo>
                <a:cubicBezTo>
                  <a:pt x="1042383" y="275722"/>
                  <a:pt x="1114998" y="316350"/>
                  <a:pt x="1055688" y="289990"/>
                </a:cubicBezTo>
                <a:cubicBezTo>
                  <a:pt x="1039469" y="282782"/>
                  <a:pt x="1024542" y="272770"/>
                  <a:pt x="1008063" y="266178"/>
                </a:cubicBezTo>
                <a:cubicBezTo>
                  <a:pt x="997934" y="262126"/>
                  <a:pt x="987010" y="260379"/>
                  <a:pt x="976313" y="258240"/>
                </a:cubicBezTo>
                <a:cubicBezTo>
                  <a:pt x="927087" y="248395"/>
                  <a:pt x="904013" y="247835"/>
                  <a:pt x="849313" y="242365"/>
                </a:cubicBezTo>
                <a:cubicBezTo>
                  <a:pt x="838730" y="239719"/>
                  <a:pt x="828052" y="237425"/>
                  <a:pt x="817563" y="234428"/>
                </a:cubicBezTo>
                <a:cubicBezTo>
                  <a:pt x="809518" y="232129"/>
                  <a:pt x="799195" y="232843"/>
                  <a:pt x="793750" y="226490"/>
                </a:cubicBezTo>
                <a:cubicBezTo>
                  <a:pt x="782199" y="213014"/>
                  <a:pt x="779467" y="193839"/>
                  <a:pt x="769938" y="178865"/>
                </a:cubicBezTo>
                <a:cubicBezTo>
                  <a:pt x="760843" y="164572"/>
                  <a:pt x="749344" y="151928"/>
                  <a:pt x="738188" y="139178"/>
                </a:cubicBezTo>
                <a:cubicBezTo>
                  <a:pt x="724530" y="123569"/>
                  <a:pt x="700364" y="101408"/>
                  <a:pt x="682625" y="91553"/>
                </a:cubicBezTo>
                <a:cubicBezTo>
                  <a:pt x="615617" y="54327"/>
                  <a:pt x="532192" y="70863"/>
                  <a:pt x="460375" y="67740"/>
                </a:cubicBezTo>
                <a:cubicBezTo>
                  <a:pt x="340638" y="37808"/>
                  <a:pt x="521367" y="85427"/>
                  <a:pt x="396875" y="43928"/>
                </a:cubicBezTo>
                <a:cubicBezTo>
                  <a:pt x="384076" y="39662"/>
                  <a:pt x="370583" y="37597"/>
                  <a:pt x="357188" y="35990"/>
                </a:cubicBezTo>
                <a:cubicBezTo>
                  <a:pt x="304386" y="29654"/>
                  <a:pt x="251355" y="25407"/>
                  <a:pt x="198438" y="20115"/>
                </a:cubicBezTo>
                <a:cubicBezTo>
                  <a:pt x="135039" y="-11585"/>
                  <a:pt x="173574" y="939"/>
                  <a:pt x="55563" y="12178"/>
                </a:cubicBezTo>
                <a:cubicBezTo>
                  <a:pt x="36938" y="13952"/>
                  <a:pt x="0" y="20115"/>
                  <a:pt x="0" y="20115"/>
                </a:cubicBezTo>
              </a:path>
            </a:pathLst>
          </a:custGeom>
          <a:noFill/>
          <a:ln>
            <a:solidFill>
              <a:srgbClr val="00808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15" name="Forma libre: forma 14">
            <a:extLst>
              <a:ext uri="{FF2B5EF4-FFF2-40B4-BE49-F238E27FC236}">
                <a16:creationId xmlns:a16="http://schemas.microsoft.com/office/drawing/2014/main" id="{59CDA04B-60A4-1B07-45C8-CBFDE8B952AD}"/>
              </a:ext>
            </a:extLst>
          </xdr:cNvPr>
          <xdr:cNvSpPr/>
        </xdr:nvSpPr>
        <xdr:spPr>
          <a:xfrm>
            <a:off x="14620875" y="6298248"/>
            <a:ext cx="4183063" cy="861377"/>
          </a:xfrm>
          <a:custGeom>
            <a:avLst/>
            <a:gdLst>
              <a:gd name="connsiteX0" fmla="*/ 4183063 w 4183063"/>
              <a:gd name="connsiteY0" fmla="*/ 734377 h 861377"/>
              <a:gd name="connsiteX1" fmla="*/ 4143375 w 4183063"/>
              <a:gd name="connsiteY1" fmla="*/ 702627 h 861377"/>
              <a:gd name="connsiteX2" fmla="*/ 4127500 w 4183063"/>
              <a:gd name="connsiteY2" fmla="*/ 678815 h 861377"/>
              <a:gd name="connsiteX3" fmla="*/ 4103688 w 4183063"/>
              <a:gd name="connsiteY3" fmla="*/ 639127 h 861377"/>
              <a:gd name="connsiteX4" fmla="*/ 4087813 w 4183063"/>
              <a:gd name="connsiteY4" fmla="*/ 599440 h 861377"/>
              <a:gd name="connsiteX5" fmla="*/ 4064000 w 4183063"/>
              <a:gd name="connsiteY5" fmla="*/ 575627 h 861377"/>
              <a:gd name="connsiteX6" fmla="*/ 3794125 w 4183063"/>
              <a:gd name="connsiteY6" fmla="*/ 591502 h 861377"/>
              <a:gd name="connsiteX7" fmla="*/ 3778250 w 4183063"/>
              <a:gd name="connsiteY7" fmla="*/ 655002 h 861377"/>
              <a:gd name="connsiteX8" fmla="*/ 3754438 w 4183063"/>
              <a:gd name="connsiteY8" fmla="*/ 670877 h 861377"/>
              <a:gd name="connsiteX9" fmla="*/ 3675063 w 4183063"/>
              <a:gd name="connsiteY9" fmla="*/ 718502 h 861377"/>
              <a:gd name="connsiteX10" fmla="*/ 3651250 w 4183063"/>
              <a:gd name="connsiteY10" fmla="*/ 742315 h 861377"/>
              <a:gd name="connsiteX11" fmla="*/ 3619500 w 4183063"/>
              <a:gd name="connsiteY11" fmla="*/ 758190 h 861377"/>
              <a:gd name="connsiteX12" fmla="*/ 3571875 w 4183063"/>
              <a:gd name="connsiteY12" fmla="*/ 821690 h 861377"/>
              <a:gd name="connsiteX13" fmla="*/ 3516313 w 4183063"/>
              <a:gd name="connsiteY13" fmla="*/ 861377 h 861377"/>
              <a:gd name="connsiteX14" fmla="*/ 3444875 w 4183063"/>
              <a:gd name="connsiteY14" fmla="*/ 853440 h 861377"/>
              <a:gd name="connsiteX15" fmla="*/ 3373438 w 4183063"/>
              <a:gd name="connsiteY15" fmla="*/ 797877 h 861377"/>
              <a:gd name="connsiteX16" fmla="*/ 3341688 w 4183063"/>
              <a:gd name="connsiteY16" fmla="*/ 782002 h 861377"/>
              <a:gd name="connsiteX17" fmla="*/ 3008313 w 4183063"/>
              <a:gd name="connsiteY17" fmla="*/ 797877 h 861377"/>
              <a:gd name="connsiteX18" fmla="*/ 2976563 w 4183063"/>
              <a:gd name="connsiteY18" fmla="*/ 805815 h 861377"/>
              <a:gd name="connsiteX19" fmla="*/ 2595563 w 4183063"/>
              <a:gd name="connsiteY19" fmla="*/ 797877 h 861377"/>
              <a:gd name="connsiteX20" fmla="*/ 2563813 w 4183063"/>
              <a:gd name="connsiteY20" fmla="*/ 774065 h 861377"/>
              <a:gd name="connsiteX21" fmla="*/ 2222500 w 4183063"/>
              <a:gd name="connsiteY21" fmla="*/ 750252 h 861377"/>
              <a:gd name="connsiteX22" fmla="*/ 2159000 w 4183063"/>
              <a:gd name="connsiteY22" fmla="*/ 702627 h 861377"/>
              <a:gd name="connsiteX23" fmla="*/ 2111375 w 4183063"/>
              <a:gd name="connsiteY23" fmla="*/ 670877 h 861377"/>
              <a:gd name="connsiteX24" fmla="*/ 2024063 w 4183063"/>
              <a:gd name="connsiteY24" fmla="*/ 710565 h 861377"/>
              <a:gd name="connsiteX25" fmla="*/ 1857375 w 4183063"/>
              <a:gd name="connsiteY25" fmla="*/ 670877 h 861377"/>
              <a:gd name="connsiteX26" fmla="*/ 1833563 w 4183063"/>
              <a:gd name="connsiteY26" fmla="*/ 647065 h 861377"/>
              <a:gd name="connsiteX27" fmla="*/ 1817688 w 4183063"/>
              <a:gd name="connsiteY27" fmla="*/ 599440 h 861377"/>
              <a:gd name="connsiteX28" fmla="*/ 1706563 w 4183063"/>
              <a:gd name="connsiteY28" fmla="*/ 543877 h 861377"/>
              <a:gd name="connsiteX29" fmla="*/ 1643063 w 4183063"/>
              <a:gd name="connsiteY29" fmla="*/ 512127 h 861377"/>
              <a:gd name="connsiteX30" fmla="*/ 1595438 w 4183063"/>
              <a:gd name="connsiteY30" fmla="*/ 504190 h 861377"/>
              <a:gd name="connsiteX31" fmla="*/ 1539875 w 4183063"/>
              <a:gd name="connsiteY31" fmla="*/ 488315 h 861377"/>
              <a:gd name="connsiteX32" fmla="*/ 1444625 w 4183063"/>
              <a:gd name="connsiteY32" fmla="*/ 464502 h 861377"/>
              <a:gd name="connsiteX33" fmla="*/ 1420813 w 4183063"/>
              <a:gd name="connsiteY33" fmla="*/ 448627 h 861377"/>
              <a:gd name="connsiteX34" fmla="*/ 1365250 w 4183063"/>
              <a:gd name="connsiteY34" fmla="*/ 393065 h 861377"/>
              <a:gd name="connsiteX35" fmla="*/ 1317625 w 4183063"/>
              <a:gd name="connsiteY35" fmla="*/ 369252 h 861377"/>
              <a:gd name="connsiteX36" fmla="*/ 1270000 w 4183063"/>
              <a:gd name="connsiteY36" fmla="*/ 337502 h 861377"/>
              <a:gd name="connsiteX37" fmla="*/ 1214438 w 4183063"/>
              <a:gd name="connsiteY37" fmla="*/ 329565 h 861377"/>
              <a:gd name="connsiteX38" fmla="*/ 1174750 w 4183063"/>
              <a:gd name="connsiteY38" fmla="*/ 305752 h 861377"/>
              <a:gd name="connsiteX39" fmla="*/ 1135063 w 4183063"/>
              <a:gd name="connsiteY39" fmla="*/ 297815 h 861377"/>
              <a:gd name="connsiteX40" fmla="*/ 1071563 w 4183063"/>
              <a:gd name="connsiteY40" fmla="*/ 258127 h 861377"/>
              <a:gd name="connsiteX41" fmla="*/ 1047750 w 4183063"/>
              <a:gd name="connsiteY41" fmla="*/ 234315 h 861377"/>
              <a:gd name="connsiteX42" fmla="*/ 1016000 w 4183063"/>
              <a:gd name="connsiteY42" fmla="*/ 226377 h 861377"/>
              <a:gd name="connsiteX43" fmla="*/ 992188 w 4183063"/>
              <a:gd name="connsiteY43" fmla="*/ 210502 h 861377"/>
              <a:gd name="connsiteX44" fmla="*/ 928688 w 4183063"/>
              <a:gd name="connsiteY44" fmla="*/ 194627 h 861377"/>
              <a:gd name="connsiteX45" fmla="*/ 889000 w 4183063"/>
              <a:gd name="connsiteY45" fmla="*/ 170815 h 861377"/>
              <a:gd name="connsiteX46" fmla="*/ 849313 w 4183063"/>
              <a:gd name="connsiteY46" fmla="*/ 162877 h 861377"/>
              <a:gd name="connsiteX47" fmla="*/ 531813 w 4183063"/>
              <a:gd name="connsiteY47" fmla="*/ 139065 h 861377"/>
              <a:gd name="connsiteX48" fmla="*/ 452438 w 4183063"/>
              <a:gd name="connsiteY48" fmla="*/ 99377 h 861377"/>
              <a:gd name="connsiteX49" fmla="*/ 396875 w 4183063"/>
              <a:gd name="connsiteY49" fmla="*/ 59690 h 861377"/>
              <a:gd name="connsiteX50" fmla="*/ 373063 w 4183063"/>
              <a:gd name="connsiteY50" fmla="*/ 43815 h 861377"/>
              <a:gd name="connsiteX51" fmla="*/ 277813 w 4183063"/>
              <a:gd name="connsiteY51" fmla="*/ 27940 h 861377"/>
              <a:gd name="connsiteX52" fmla="*/ 166688 w 4183063"/>
              <a:gd name="connsiteY52" fmla="*/ 12065 h 861377"/>
              <a:gd name="connsiteX53" fmla="*/ 0 w 4183063"/>
              <a:gd name="connsiteY53" fmla="*/ 20002 h 86137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</a:cxnLst>
            <a:rect l="l" t="t" r="r" b="b"/>
            <a:pathLst>
              <a:path w="4183063" h="861377">
                <a:moveTo>
                  <a:pt x="4183063" y="734377"/>
                </a:moveTo>
                <a:cubicBezTo>
                  <a:pt x="4169834" y="723794"/>
                  <a:pt x="4155355" y="714607"/>
                  <a:pt x="4143375" y="702627"/>
                </a:cubicBezTo>
                <a:cubicBezTo>
                  <a:pt x="4136629" y="695882"/>
                  <a:pt x="4132556" y="686905"/>
                  <a:pt x="4127500" y="678815"/>
                </a:cubicBezTo>
                <a:cubicBezTo>
                  <a:pt x="4119323" y="665732"/>
                  <a:pt x="4110587" y="652926"/>
                  <a:pt x="4103688" y="639127"/>
                </a:cubicBezTo>
                <a:cubicBezTo>
                  <a:pt x="4097316" y="626383"/>
                  <a:pt x="4095365" y="611522"/>
                  <a:pt x="4087813" y="599440"/>
                </a:cubicBezTo>
                <a:cubicBezTo>
                  <a:pt x="4081863" y="589921"/>
                  <a:pt x="4071938" y="583565"/>
                  <a:pt x="4064000" y="575627"/>
                </a:cubicBezTo>
                <a:cubicBezTo>
                  <a:pt x="3974042" y="580919"/>
                  <a:pt x="3880951" y="567384"/>
                  <a:pt x="3794125" y="591502"/>
                </a:cubicBezTo>
                <a:cubicBezTo>
                  <a:pt x="3773103" y="597341"/>
                  <a:pt x="3796404" y="642899"/>
                  <a:pt x="3778250" y="655002"/>
                </a:cubicBezTo>
                <a:cubicBezTo>
                  <a:pt x="3770313" y="660294"/>
                  <a:pt x="3762721" y="666144"/>
                  <a:pt x="3754438" y="670877"/>
                </a:cubicBezTo>
                <a:cubicBezTo>
                  <a:pt x="3707916" y="697461"/>
                  <a:pt x="3728836" y="676679"/>
                  <a:pt x="3675063" y="718502"/>
                </a:cubicBezTo>
                <a:cubicBezTo>
                  <a:pt x="3666202" y="725394"/>
                  <a:pt x="3660385" y="735790"/>
                  <a:pt x="3651250" y="742315"/>
                </a:cubicBezTo>
                <a:cubicBezTo>
                  <a:pt x="3641621" y="749193"/>
                  <a:pt x="3629129" y="751313"/>
                  <a:pt x="3619500" y="758190"/>
                </a:cubicBezTo>
                <a:cubicBezTo>
                  <a:pt x="3589213" y="779824"/>
                  <a:pt x="3595369" y="790364"/>
                  <a:pt x="3571875" y="821690"/>
                </a:cubicBezTo>
                <a:cubicBezTo>
                  <a:pt x="3552568" y="847433"/>
                  <a:pt x="3544535" y="847266"/>
                  <a:pt x="3516313" y="861377"/>
                </a:cubicBezTo>
                <a:cubicBezTo>
                  <a:pt x="3492500" y="858731"/>
                  <a:pt x="3467912" y="860022"/>
                  <a:pt x="3444875" y="853440"/>
                </a:cubicBezTo>
                <a:cubicBezTo>
                  <a:pt x="3404232" y="841828"/>
                  <a:pt x="3404574" y="821229"/>
                  <a:pt x="3373438" y="797877"/>
                </a:cubicBezTo>
                <a:cubicBezTo>
                  <a:pt x="3363972" y="790777"/>
                  <a:pt x="3352271" y="787294"/>
                  <a:pt x="3341688" y="782002"/>
                </a:cubicBezTo>
                <a:lnTo>
                  <a:pt x="3008313" y="797877"/>
                </a:lnTo>
                <a:cubicBezTo>
                  <a:pt x="2997427" y="798587"/>
                  <a:pt x="2987472" y="805815"/>
                  <a:pt x="2976563" y="805815"/>
                </a:cubicBezTo>
                <a:cubicBezTo>
                  <a:pt x="2849535" y="805815"/>
                  <a:pt x="2722563" y="800523"/>
                  <a:pt x="2595563" y="797877"/>
                </a:cubicBezTo>
                <a:cubicBezTo>
                  <a:pt x="2584980" y="789940"/>
                  <a:pt x="2575031" y="781076"/>
                  <a:pt x="2563813" y="774065"/>
                </a:cubicBezTo>
                <a:cubicBezTo>
                  <a:pt x="2465614" y="712691"/>
                  <a:pt x="2318168" y="752705"/>
                  <a:pt x="2222500" y="750252"/>
                </a:cubicBezTo>
                <a:cubicBezTo>
                  <a:pt x="2190743" y="702617"/>
                  <a:pt x="2226389" y="747553"/>
                  <a:pt x="2159000" y="702627"/>
                </a:cubicBezTo>
                <a:cubicBezTo>
                  <a:pt x="2099543" y="662989"/>
                  <a:pt x="2167997" y="689752"/>
                  <a:pt x="2111375" y="670877"/>
                </a:cubicBezTo>
                <a:cubicBezTo>
                  <a:pt x="2082271" y="684106"/>
                  <a:pt x="2055938" y="708113"/>
                  <a:pt x="2024063" y="710565"/>
                </a:cubicBezTo>
                <a:cubicBezTo>
                  <a:pt x="1980036" y="713952"/>
                  <a:pt x="1905589" y="686948"/>
                  <a:pt x="1857375" y="670877"/>
                </a:cubicBezTo>
                <a:cubicBezTo>
                  <a:pt x="1849438" y="662940"/>
                  <a:pt x="1839014" y="656878"/>
                  <a:pt x="1833563" y="647065"/>
                </a:cubicBezTo>
                <a:cubicBezTo>
                  <a:pt x="1825436" y="632437"/>
                  <a:pt x="1828882" y="611878"/>
                  <a:pt x="1817688" y="599440"/>
                </a:cubicBezTo>
                <a:cubicBezTo>
                  <a:pt x="1799849" y="579619"/>
                  <a:pt x="1729571" y="555381"/>
                  <a:pt x="1706563" y="543877"/>
                </a:cubicBezTo>
                <a:cubicBezTo>
                  <a:pt x="1662945" y="522068"/>
                  <a:pt x="1703481" y="528604"/>
                  <a:pt x="1643063" y="512127"/>
                </a:cubicBezTo>
                <a:cubicBezTo>
                  <a:pt x="1627536" y="507892"/>
                  <a:pt x="1611120" y="507809"/>
                  <a:pt x="1595438" y="504190"/>
                </a:cubicBezTo>
                <a:cubicBezTo>
                  <a:pt x="1576669" y="499859"/>
                  <a:pt x="1558503" y="493217"/>
                  <a:pt x="1539875" y="488315"/>
                </a:cubicBezTo>
                <a:cubicBezTo>
                  <a:pt x="1508225" y="479986"/>
                  <a:pt x="1476375" y="472440"/>
                  <a:pt x="1444625" y="464502"/>
                </a:cubicBezTo>
                <a:cubicBezTo>
                  <a:pt x="1436688" y="459210"/>
                  <a:pt x="1427904" y="455009"/>
                  <a:pt x="1420813" y="448627"/>
                </a:cubicBezTo>
                <a:cubicBezTo>
                  <a:pt x="1401344" y="431105"/>
                  <a:pt x="1387043" y="407594"/>
                  <a:pt x="1365250" y="393065"/>
                </a:cubicBezTo>
                <a:cubicBezTo>
                  <a:pt x="1259551" y="322598"/>
                  <a:pt x="1416204" y="424019"/>
                  <a:pt x="1317625" y="369252"/>
                </a:cubicBezTo>
                <a:cubicBezTo>
                  <a:pt x="1300947" y="359986"/>
                  <a:pt x="1287808" y="344351"/>
                  <a:pt x="1270000" y="337502"/>
                </a:cubicBezTo>
                <a:cubicBezTo>
                  <a:pt x="1252538" y="330786"/>
                  <a:pt x="1232959" y="332211"/>
                  <a:pt x="1214438" y="329565"/>
                </a:cubicBezTo>
                <a:cubicBezTo>
                  <a:pt x="1201209" y="321627"/>
                  <a:pt x="1189074" y="311482"/>
                  <a:pt x="1174750" y="305752"/>
                </a:cubicBezTo>
                <a:cubicBezTo>
                  <a:pt x="1162224" y="300742"/>
                  <a:pt x="1147312" y="303469"/>
                  <a:pt x="1135063" y="297815"/>
                </a:cubicBezTo>
                <a:cubicBezTo>
                  <a:pt x="1112400" y="287355"/>
                  <a:pt x="1089213" y="275777"/>
                  <a:pt x="1071563" y="258127"/>
                </a:cubicBezTo>
                <a:cubicBezTo>
                  <a:pt x="1063625" y="250190"/>
                  <a:pt x="1057496" y="239884"/>
                  <a:pt x="1047750" y="234315"/>
                </a:cubicBezTo>
                <a:cubicBezTo>
                  <a:pt x="1038278" y="228903"/>
                  <a:pt x="1026583" y="229023"/>
                  <a:pt x="1016000" y="226377"/>
                </a:cubicBezTo>
                <a:cubicBezTo>
                  <a:pt x="1008063" y="221085"/>
                  <a:pt x="1001153" y="213762"/>
                  <a:pt x="992188" y="210502"/>
                </a:cubicBezTo>
                <a:cubicBezTo>
                  <a:pt x="971684" y="203046"/>
                  <a:pt x="928688" y="194627"/>
                  <a:pt x="928688" y="194627"/>
                </a:cubicBezTo>
                <a:cubicBezTo>
                  <a:pt x="915459" y="186690"/>
                  <a:pt x="903324" y="176545"/>
                  <a:pt x="889000" y="170815"/>
                </a:cubicBezTo>
                <a:cubicBezTo>
                  <a:pt x="876474" y="165805"/>
                  <a:pt x="862620" y="165095"/>
                  <a:pt x="849313" y="162877"/>
                </a:cubicBezTo>
                <a:cubicBezTo>
                  <a:pt x="739083" y="144505"/>
                  <a:pt x="663155" y="147025"/>
                  <a:pt x="531813" y="139065"/>
                </a:cubicBezTo>
                <a:cubicBezTo>
                  <a:pt x="517479" y="132922"/>
                  <a:pt x="469346" y="116285"/>
                  <a:pt x="452438" y="99377"/>
                </a:cubicBezTo>
                <a:cubicBezTo>
                  <a:pt x="408588" y="55527"/>
                  <a:pt x="452584" y="73616"/>
                  <a:pt x="396875" y="59690"/>
                </a:cubicBezTo>
                <a:cubicBezTo>
                  <a:pt x="388938" y="54398"/>
                  <a:pt x="381595" y="48081"/>
                  <a:pt x="373063" y="43815"/>
                </a:cubicBezTo>
                <a:cubicBezTo>
                  <a:pt x="346053" y="30310"/>
                  <a:pt x="301637" y="31047"/>
                  <a:pt x="277813" y="27940"/>
                </a:cubicBezTo>
                <a:cubicBezTo>
                  <a:pt x="240710" y="23101"/>
                  <a:pt x="203730" y="17357"/>
                  <a:pt x="166688" y="12065"/>
                </a:cubicBezTo>
                <a:cubicBezTo>
                  <a:pt x="97416" y="-11027"/>
                  <a:pt x="151191" y="3203"/>
                  <a:pt x="0" y="20002"/>
                </a:cubicBezTo>
              </a:path>
            </a:pathLst>
          </a:custGeom>
          <a:noFill/>
          <a:ln>
            <a:solidFill>
              <a:srgbClr val="223B68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16" name="Forma libre: forma 15">
            <a:extLst>
              <a:ext uri="{FF2B5EF4-FFF2-40B4-BE49-F238E27FC236}">
                <a16:creationId xmlns:a16="http://schemas.microsoft.com/office/drawing/2014/main" id="{7FDA9FDF-9FF2-3FDF-ED49-15E01548E440}"/>
              </a:ext>
            </a:extLst>
          </xdr:cNvPr>
          <xdr:cNvSpPr/>
        </xdr:nvSpPr>
        <xdr:spPr>
          <a:xfrm>
            <a:off x="14176375" y="5229835"/>
            <a:ext cx="452438" cy="1278915"/>
          </a:xfrm>
          <a:custGeom>
            <a:avLst/>
            <a:gdLst>
              <a:gd name="connsiteX0" fmla="*/ 452438 w 452438"/>
              <a:gd name="connsiteY0" fmla="*/ 1278915 h 1278915"/>
              <a:gd name="connsiteX1" fmla="*/ 436563 w 452438"/>
              <a:gd name="connsiteY1" fmla="*/ 1048728 h 1278915"/>
              <a:gd name="connsiteX2" fmla="*/ 412750 w 452438"/>
              <a:gd name="connsiteY2" fmla="*/ 1024915 h 1278915"/>
              <a:gd name="connsiteX3" fmla="*/ 404813 w 452438"/>
              <a:gd name="connsiteY3" fmla="*/ 1001103 h 1278915"/>
              <a:gd name="connsiteX4" fmla="*/ 381000 w 452438"/>
              <a:gd name="connsiteY4" fmla="*/ 961415 h 1278915"/>
              <a:gd name="connsiteX5" fmla="*/ 373063 w 452438"/>
              <a:gd name="connsiteY5" fmla="*/ 937603 h 1278915"/>
              <a:gd name="connsiteX6" fmla="*/ 357188 w 452438"/>
              <a:gd name="connsiteY6" fmla="*/ 905853 h 1278915"/>
              <a:gd name="connsiteX7" fmla="*/ 333375 w 452438"/>
              <a:gd name="connsiteY7" fmla="*/ 842353 h 1278915"/>
              <a:gd name="connsiteX8" fmla="*/ 285750 w 452438"/>
              <a:gd name="connsiteY8" fmla="*/ 786790 h 1278915"/>
              <a:gd name="connsiteX9" fmla="*/ 261938 w 452438"/>
              <a:gd name="connsiteY9" fmla="*/ 747103 h 1278915"/>
              <a:gd name="connsiteX10" fmla="*/ 206375 w 452438"/>
              <a:gd name="connsiteY10" fmla="*/ 683603 h 1278915"/>
              <a:gd name="connsiteX11" fmla="*/ 190500 w 452438"/>
              <a:gd name="connsiteY11" fmla="*/ 620103 h 1278915"/>
              <a:gd name="connsiteX12" fmla="*/ 174625 w 452438"/>
              <a:gd name="connsiteY12" fmla="*/ 580415 h 1278915"/>
              <a:gd name="connsiteX13" fmla="*/ 166688 w 452438"/>
              <a:gd name="connsiteY13" fmla="*/ 532790 h 1278915"/>
              <a:gd name="connsiteX14" fmla="*/ 174625 w 452438"/>
              <a:gd name="connsiteY14" fmla="*/ 389915 h 1278915"/>
              <a:gd name="connsiteX15" fmla="*/ 198438 w 452438"/>
              <a:gd name="connsiteY15" fmla="*/ 350228 h 1278915"/>
              <a:gd name="connsiteX16" fmla="*/ 174625 w 452438"/>
              <a:gd name="connsiteY16" fmla="*/ 215290 h 1278915"/>
              <a:gd name="connsiteX17" fmla="*/ 166688 w 452438"/>
              <a:gd name="connsiteY17" fmla="*/ 175603 h 1278915"/>
              <a:gd name="connsiteX18" fmla="*/ 127000 w 452438"/>
              <a:gd name="connsiteY18" fmla="*/ 112103 h 1278915"/>
              <a:gd name="connsiteX19" fmla="*/ 95250 w 452438"/>
              <a:gd name="connsiteY19" fmla="*/ 88290 h 1278915"/>
              <a:gd name="connsiteX20" fmla="*/ 39688 w 452438"/>
              <a:gd name="connsiteY20" fmla="*/ 48603 h 1278915"/>
              <a:gd name="connsiteX21" fmla="*/ 15875 w 452438"/>
              <a:gd name="connsiteY21" fmla="*/ 24790 h 1278915"/>
              <a:gd name="connsiteX22" fmla="*/ 7938 w 452438"/>
              <a:gd name="connsiteY22" fmla="*/ 978 h 1278915"/>
              <a:gd name="connsiteX23" fmla="*/ 0 w 452438"/>
              <a:gd name="connsiteY23" fmla="*/ 978 h 127891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</a:cxnLst>
            <a:rect l="l" t="t" r="r" b="b"/>
            <a:pathLst>
              <a:path w="452438" h="1278915">
                <a:moveTo>
                  <a:pt x="452438" y="1278915"/>
                </a:moveTo>
                <a:cubicBezTo>
                  <a:pt x="447146" y="1202186"/>
                  <a:pt x="448436" y="1124717"/>
                  <a:pt x="436563" y="1048728"/>
                </a:cubicBezTo>
                <a:cubicBezTo>
                  <a:pt x="434830" y="1037637"/>
                  <a:pt x="418977" y="1034255"/>
                  <a:pt x="412750" y="1024915"/>
                </a:cubicBezTo>
                <a:cubicBezTo>
                  <a:pt x="408109" y="1017954"/>
                  <a:pt x="408555" y="1008586"/>
                  <a:pt x="404813" y="1001103"/>
                </a:cubicBezTo>
                <a:cubicBezTo>
                  <a:pt x="397913" y="987304"/>
                  <a:pt x="387900" y="975214"/>
                  <a:pt x="381000" y="961415"/>
                </a:cubicBezTo>
                <a:cubicBezTo>
                  <a:pt x="377258" y="953932"/>
                  <a:pt x="376359" y="945293"/>
                  <a:pt x="373063" y="937603"/>
                </a:cubicBezTo>
                <a:cubicBezTo>
                  <a:pt x="368402" y="926727"/>
                  <a:pt x="361343" y="916932"/>
                  <a:pt x="357188" y="905853"/>
                </a:cubicBezTo>
                <a:cubicBezTo>
                  <a:pt x="340046" y="860143"/>
                  <a:pt x="360998" y="886551"/>
                  <a:pt x="333375" y="842353"/>
                </a:cubicBezTo>
                <a:cubicBezTo>
                  <a:pt x="284517" y="764179"/>
                  <a:pt x="334455" y="851730"/>
                  <a:pt x="285750" y="786790"/>
                </a:cubicBezTo>
                <a:cubicBezTo>
                  <a:pt x="276494" y="774448"/>
                  <a:pt x="270496" y="759939"/>
                  <a:pt x="261938" y="747103"/>
                </a:cubicBezTo>
                <a:cubicBezTo>
                  <a:pt x="240077" y="714312"/>
                  <a:pt x="235111" y="712339"/>
                  <a:pt x="206375" y="683603"/>
                </a:cubicBezTo>
                <a:cubicBezTo>
                  <a:pt x="201083" y="662436"/>
                  <a:pt x="196916" y="640956"/>
                  <a:pt x="190500" y="620103"/>
                </a:cubicBezTo>
                <a:cubicBezTo>
                  <a:pt x="186310" y="606485"/>
                  <a:pt x="178374" y="594161"/>
                  <a:pt x="174625" y="580415"/>
                </a:cubicBezTo>
                <a:cubicBezTo>
                  <a:pt x="170391" y="564888"/>
                  <a:pt x="169334" y="548665"/>
                  <a:pt x="166688" y="532790"/>
                </a:cubicBezTo>
                <a:cubicBezTo>
                  <a:pt x="169334" y="485165"/>
                  <a:pt x="166452" y="436908"/>
                  <a:pt x="174625" y="389915"/>
                </a:cubicBezTo>
                <a:cubicBezTo>
                  <a:pt x="177268" y="374715"/>
                  <a:pt x="196734" y="365561"/>
                  <a:pt x="198438" y="350228"/>
                </a:cubicBezTo>
                <a:cubicBezTo>
                  <a:pt x="207283" y="270623"/>
                  <a:pt x="199860" y="265760"/>
                  <a:pt x="174625" y="215290"/>
                </a:cubicBezTo>
                <a:cubicBezTo>
                  <a:pt x="171979" y="202061"/>
                  <a:pt x="170954" y="188402"/>
                  <a:pt x="166688" y="175603"/>
                </a:cubicBezTo>
                <a:cubicBezTo>
                  <a:pt x="160400" y="156739"/>
                  <a:pt x="140579" y="125682"/>
                  <a:pt x="127000" y="112103"/>
                </a:cubicBezTo>
                <a:cubicBezTo>
                  <a:pt x="117645" y="102748"/>
                  <a:pt x="104605" y="97645"/>
                  <a:pt x="95250" y="88290"/>
                </a:cubicBezTo>
                <a:cubicBezTo>
                  <a:pt x="51657" y="44697"/>
                  <a:pt x="117827" y="79859"/>
                  <a:pt x="39688" y="48603"/>
                </a:cubicBezTo>
                <a:cubicBezTo>
                  <a:pt x="31750" y="40665"/>
                  <a:pt x="22102" y="34130"/>
                  <a:pt x="15875" y="24790"/>
                </a:cubicBezTo>
                <a:cubicBezTo>
                  <a:pt x="11234" y="17829"/>
                  <a:pt x="12579" y="7939"/>
                  <a:pt x="7938" y="978"/>
                </a:cubicBezTo>
                <a:cubicBezTo>
                  <a:pt x="6470" y="-1224"/>
                  <a:pt x="2646" y="978"/>
                  <a:pt x="0" y="978"/>
                </a:cubicBezTo>
              </a:path>
            </a:pathLst>
          </a:custGeom>
          <a:noFill/>
          <a:ln>
            <a:solidFill>
              <a:srgbClr val="223B68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17" name="Forma libre: forma 16">
            <a:extLst>
              <a:ext uri="{FF2B5EF4-FFF2-40B4-BE49-F238E27FC236}">
                <a16:creationId xmlns:a16="http://schemas.microsoft.com/office/drawing/2014/main" id="{4AA44BBA-3F37-55DB-D40A-F61FBA9233B4}"/>
              </a:ext>
            </a:extLst>
          </xdr:cNvPr>
          <xdr:cNvSpPr/>
        </xdr:nvSpPr>
        <xdr:spPr>
          <a:xfrm>
            <a:off x="15800521" y="7015216"/>
            <a:ext cx="2936875" cy="523935"/>
          </a:xfrm>
          <a:custGeom>
            <a:avLst/>
            <a:gdLst>
              <a:gd name="connsiteX0" fmla="*/ 0 w 2936875"/>
              <a:gd name="connsiteY0" fmla="*/ 373122 h 523935"/>
              <a:gd name="connsiteX1" fmla="*/ 134937 w 2936875"/>
              <a:gd name="connsiteY1" fmla="*/ 381060 h 523935"/>
              <a:gd name="connsiteX2" fmla="*/ 182562 w 2936875"/>
              <a:gd name="connsiteY2" fmla="*/ 412810 h 523935"/>
              <a:gd name="connsiteX3" fmla="*/ 230187 w 2936875"/>
              <a:gd name="connsiteY3" fmla="*/ 420747 h 523935"/>
              <a:gd name="connsiteX4" fmla="*/ 246062 w 2936875"/>
              <a:gd name="connsiteY4" fmla="*/ 396935 h 523935"/>
              <a:gd name="connsiteX5" fmla="*/ 285750 w 2936875"/>
              <a:gd name="connsiteY5" fmla="*/ 388997 h 523935"/>
              <a:gd name="connsiteX6" fmla="*/ 309562 w 2936875"/>
              <a:gd name="connsiteY6" fmla="*/ 373122 h 523935"/>
              <a:gd name="connsiteX7" fmla="*/ 373062 w 2936875"/>
              <a:gd name="connsiteY7" fmla="*/ 388997 h 523935"/>
              <a:gd name="connsiteX8" fmla="*/ 436562 w 2936875"/>
              <a:gd name="connsiteY8" fmla="*/ 436622 h 523935"/>
              <a:gd name="connsiteX9" fmla="*/ 642937 w 2936875"/>
              <a:gd name="connsiteY9" fmla="*/ 420747 h 523935"/>
              <a:gd name="connsiteX10" fmla="*/ 690562 w 2936875"/>
              <a:gd name="connsiteY10" fmla="*/ 412810 h 523935"/>
              <a:gd name="connsiteX11" fmla="*/ 714375 w 2936875"/>
              <a:gd name="connsiteY11" fmla="*/ 388997 h 523935"/>
              <a:gd name="connsiteX12" fmla="*/ 785812 w 2936875"/>
              <a:gd name="connsiteY12" fmla="*/ 357247 h 523935"/>
              <a:gd name="connsiteX13" fmla="*/ 825500 w 2936875"/>
              <a:gd name="connsiteY13" fmla="*/ 373122 h 523935"/>
              <a:gd name="connsiteX14" fmla="*/ 849312 w 2936875"/>
              <a:gd name="connsiteY14" fmla="*/ 381060 h 523935"/>
              <a:gd name="connsiteX15" fmla="*/ 881062 w 2936875"/>
              <a:gd name="connsiteY15" fmla="*/ 404872 h 523935"/>
              <a:gd name="connsiteX16" fmla="*/ 904875 w 2936875"/>
              <a:gd name="connsiteY16" fmla="*/ 428685 h 523935"/>
              <a:gd name="connsiteX17" fmla="*/ 944562 w 2936875"/>
              <a:gd name="connsiteY17" fmla="*/ 436622 h 523935"/>
              <a:gd name="connsiteX18" fmla="*/ 1158875 w 2936875"/>
              <a:gd name="connsiteY18" fmla="*/ 452497 h 523935"/>
              <a:gd name="connsiteX19" fmla="*/ 1190625 w 2936875"/>
              <a:gd name="connsiteY19" fmla="*/ 460435 h 523935"/>
              <a:gd name="connsiteX20" fmla="*/ 1230312 w 2936875"/>
              <a:gd name="connsiteY20" fmla="*/ 468372 h 523935"/>
              <a:gd name="connsiteX21" fmla="*/ 1254125 w 2936875"/>
              <a:gd name="connsiteY21" fmla="*/ 492185 h 523935"/>
              <a:gd name="connsiteX22" fmla="*/ 1317625 w 2936875"/>
              <a:gd name="connsiteY22" fmla="*/ 515997 h 523935"/>
              <a:gd name="connsiteX23" fmla="*/ 1397000 w 2936875"/>
              <a:gd name="connsiteY23" fmla="*/ 523935 h 523935"/>
              <a:gd name="connsiteX24" fmla="*/ 1603375 w 2936875"/>
              <a:gd name="connsiteY24" fmla="*/ 515997 h 523935"/>
              <a:gd name="connsiteX25" fmla="*/ 1658937 w 2936875"/>
              <a:gd name="connsiteY25" fmla="*/ 476310 h 523935"/>
              <a:gd name="connsiteX26" fmla="*/ 1674812 w 2936875"/>
              <a:gd name="connsiteY26" fmla="*/ 452497 h 523935"/>
              <a:gd name="connsiteX27" fmla="*/ 1897062 w 2936875"/>
              <a:gd name="connsiteY27" fmla="*/ 412810 h 523935"/>
              <a:gd name="connsiteX28" fmla="*/ 1984375 w 2936875"/>
              <a:gd name="connsiteY28" fmla="*/ 388997 h 523935"/>
              <a:gd name="connsiteX29" fmla="*/ 2008187 w 2936875"/>
              <a:gd name="connsiteY29" fmla="*/ 373122 h 523935"/>
              <a:gd name="connsiteX30" fmla="*/ 2055812 w 2936875"/>
              <a:gd name="connsiteY30" fmla="*/ 388997 h 523935"/>
              <a:gd name="connsiteX31" fmla="*/ 2103437 w 2936875"/>
              <a:gd name="connsiteY31" fmla="*/ 396935 h 523935"/>
              <a:gd name="connsiteX32" fmla="*/ 2214562 w 2936875"/>
              <a:gd name="connsiteY32" fmla="*/ 381060 h 523935"/>
              <a:gd name="connsiteX33" fmla="*/ 2262187 w 2936875"/>
              <a:gd name="connsiteY33" fmla="*/ 349310 h 523935"/>
              <a:gd name="connsiteX34" fmla="*/ 2301875 w 2936875"/>
              <a:gd name="connsiteY34" fmla="*/ 301685 h 523935"/>
              <a:gd name="connsiteX35" fmla="*/ 2357437 w 2936875"/>
              <a:gd name="connsiteY35" fmla="*/ 293747 h 523935"/>
              <a:gd name="connsiteX36" fmla="*/ 2444750 w 2936875"/>
              <a:gd name="connsiteY36" fmla="*/ 269935 h 523935"/>
              <a:gd name="connsiteX37" fmla="*/ 2492375 w 2936875"/>
              <a:gd name="connsiteY37" fmla="*/ 246122 h 523935"/>
              <a:gd name="connsiteX38" fmla="*/ 2516187 w 2936875"/>
              <a:gd name="connsiteY38" fmla="*/ 230247 h 523935"/>
              <a:gd name="connsiteX39" fmla="*/ 2547937 w 2936875"/>
              <a:gd name="connsiteY39" fmla="*/ 222310 h 523935"/>
              <a:gd name="connsiteX40" fmla="*/ 2698750 w 2936875"/>
              <a:gd name="connsiteY40" fmla="*/ 222310 h 523935"/>
              <a:gd name="connsiteX41" fmla="*/ 2754312 w 2936875"/>
              <a:gd name="connsiteY41" fmla="*/ 198497 h 523935"/>
              <a:gd name="connsiteX42" fmla="*/ 2794000 w 2936875"/>
              <a:gd name="connsiteY42" fmla="*/ 150872 h 523935"/>
              <a:gd name="connsiteX43" fmla="*/ 2809875 w 2936875"/>
              <a:gd name="connsiteY43" fmla="*/ 63560 h 523935"/>
              <a:gd name="connsiteX44" fmla="*/ 2873375 w 2936875"/>
              <a:gd name="connsiteY44" fmla="*/ 47685 h 523935"/>
              <a:gd name="connsiteX45" fmla="*/ 2936875 w 2936875"/>
              <a:gd name="connsiteY45" fmla="*/ 60 h 52393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</a:cxnLst>
            <a:rect l="l" t="t" r="r" b="b"/>
            <a:pathLst>
              <a:path w="2936875" h="523935">
                <a:moveTo>
                  <a:pt x="0" y="373122"/>
                </a:moveTo>
                <a:cubicBezTo>
                  <a:pt x="44979" y="375768"/>
                  <a:pt x="90909" y="371488"/>
                  <a:pt x="134937" y="381060"/>
                </a:cubicBezTo>
                <a:cubicBezTo>
                  <a:pt x="153581" y="385113"/>
                  <a:pt x="163742" y="409674"/>
                  <a:pt x="182562" y="412810"/>
                </a:cubicBezTo>
                <a:lnTo>
                  <a:pt x="230187" y="420747"/>
                </a:lnTo>
                <a:cubicBezTo>
                  <a:pt x="235479" y="412810"/>
                  <a:pt x="237779" y="401668"/>
                  <a:pt x="246062" y="396935"/>
                </a:cubicBezTo>
                <a:cubicBezTo>
                  <a:pt x="257776" y="390241"/>
                  <a:pt x="273118" y="393734"/>
                  <a:pt x="285750" y="388997"/>
                </a:cubicBezTo>
                <a:cubicBezTo>
                  <a:pt x="294682" y="385647"/>
                  <a:pt x="301625" y="378414"/>
                  <a:pt x="309562" y="373122"/>
                </a:cubicBezTo>
                <a:cubicBezTo>
                  <a:pt x="330729" y="378414"/>
                  <a:pt x="353547" y="379240"/>
                  <a:pt x="373062" y="388997"/>
                </a:cubicBezTo>
                <a:cubicBezTo>
                  <a:pt x="396727" y="400830"/>
                  <a:pt x="436562" y="436622"/>
                  <a:pt x="436562" y="436622"/>
                </a:cubicBezTo>
                <a:lnTo>
                  <a:pt x="642937" y="420747"/>
                </a:lnTo>
                <a:cubicBezTo>
                  <a:pt x="658961" y="419245"/>
                  <a:pt x="675855" y="419346"/>
                  <a:pt x="690562" y="412810"/>
                </a:cubicBezTo>
                <a:cubicBezTo>
                  <a:pt x="700820" y="408251"/>
                  <a:pt x="705035" y="395224"/>
                  <a:pt x="714375" y="388997"/>
                </a:cubicBezTo>
                <a:cubicBezTo>
                  <a:pt x="741926" y="370630"/>
                  <a:pt x="758153" y="366467"/>
                  <a:pt x="785812" y="357247"/>
                </a:cubicBezTo>
                <a:cubicBezTo>
                  <a:pt x="799041" y="362539"/>
                  <a:pt x="812159" y="368119"/>
                  <a:pt x="825500" y="373122"/>
                </a:cubicBezTo>
                <a:cubicBezTo>
                  <a:pt x="833334" y="376060"/>
                  <a:pt x="842048" y="376909"/>
                  <a:pt x="849312" y="381060"/>
                </a:cubicBezTo>
                <a:cubicBezTo>
                  <a:pt x="860798" y="387623"/>
                  <a:pt x="871018" y="396263"/>
                  <a:pt x="881062" y="404872"/>
                </a:cubicBezTo>
                <a:cubicBezTo>
                  <a:pt x="889585" y="412177"/>
                  <a:pt x="894835" y="423665"/>
                  <a:pt x="904875" y="428685"/>
                </a:cubicBezTo>
                <a:cubicBezTo>
                  <a:pt x="916942" y="434718"/>
                  <a:pt x="931163" y="435046"/>
                  <a:pt x="944562" y="436622"/>
                </a:cubicBezTo>
                <a:cubicBezTo>
                  <a:pt x="988682" y="441813"/>
                  <a:pt x="1121343" y="449995"/>
                  <a:pt x="1158875" y="452497"/>
                </a:cubicBezTo>
                <a:cubicBezTo>
                  <a:pt x="1169458" y="455143"/>
                  <a:pt x="1179976" y="458068"/>
                  <a:pt x="1190625" y="460435"/>
                </a:cubicBezTo>
                <a:cubicBezTo>
                  <a:pt x="1203795" y="463362"/>
                  <a:pt x="1218245" y="462339"/>
                  <a:pt x="1230312" y="468372"/>
                </a:cubicBezTo>
                <a:cubicBezTo>
                  <a:pt x="1240352" y="473392"/>
                  <a:pt x="1244606" y="486235"/>
                  <a:pt x="1254125" y="492185"/>
                </a:cubicBezTo>
                <a:cubicBezTo>
                  <a:pt x="1254705" y="492548"/>
                  <a:pt x="1307822" y="514489"/>
                  <a:pt x="1317625" y="515997"/>
                </a:cubicBezTo>
                <a:cubicBezTo>
                  <a:pt x="1343906" y="520040"/>
                  <a:pt x="1370542" y="521289"/>
                  <a:pt x="1397000" y="523935"/>
                </a:cubicBezTo>
                <a:cubicBezTo>
                  <a:pt x="1465792" y="521289"/>
                  <a:pt x="1534874" y="522847"/>
                  <a:pt x="1603375" y="515997"/>
                </a:cubicBezTo>
                <a:cubicBezTo>
                  <a:pt x="1623801" y="513954"/>
                  <a:pt x="1647025" y="490604"/>
                  <a:pt x="1658937" y="476310"/>
                </a:cubicBezTo>
                <a:cubicBezTo>
                  <a:pt x="1665044" y="468981"/>
                  <a:pt x="1665594" y="454955"/>
                  <a:pt x="1674812" y="452497"/>
                </a:cubicBezTo>
                <a:cubicBezTo>
                  <a:pt x="1747526" y="433107"/>
                  <a:pt x="1823342" y="427932"/>
                  <a:pt x="1897062" y="412810"/>
                </a:cubicBezTo>
                <a:cubicBezTo>
                  <a:pt x="1926614" y="406748"/>
                  <a:pt x="1955271" y="396935"/>
                  <a:pt x="1984375" y="388997"/>
                </a:cubicBezTo>
                <a:cubicBezTo>
                  <a:pt x="1992312" y="383705"/>
                  <a:pt x="1998647" y="373122"/>
                  <a:pt x="2008187" y="373122"/>
                </a:cubicBezTo>
                <a:cubicBezTo>
                  <a:pt x="2024921" y="373122"/>
                  <a:pt x="2039578" y="384938"/>
                  <a:pt x="2055812" y="388997"/>
                </a:cubicBezTo>
                <a:cubicBezTo>
                  <a:pt x="2071425" y="392900"/>
                  <a:pt x="2087562" y="394289"/>
                  <a:pt x="2103437" y="396935"/>
                </a:cubicBezTo>
                <a:cubicBezTo>
                  <a:pt x="2140479" y="391643"/>
                  <a:pt x="2178722" y="391812"/>
                  <a:pt x="2214562" y="381060"/>
                </a:cubicBezTo>
                <a:cubicBezTo>
                  <a:pt x="2232837" y="375578"/>
                  <a:pt x="2262187" y="349310"/>
                  <a:pt x="2262187" y="349310"/>
                </a:cubicBezTo>
                <a:cubicBezTo>
                  <a:pt x="2270124" y="337404"/>
                  <a:pt x="2287983" y="307242"/>
                  <a:pt x="2301875" y="301685"/>
                </a:cubicBezTo>
                <a:cubicBezTo>
                  <a:pt x="2319246" y="294737"/>
                  <a:pt x="2338916" y="296393"/>
                  <a:pt x="2357437" y="293747"/>
                </a:cubicBezTo>
                <a:cubicBezTo>
                  <a:pt x="2417861" y="273606"/>
                  <a:pt x="2388653" y="281154"/>
                  <a:pt x="2444750" y="269935"/>
                </a:cubicBezTo>
                <a:cubicBezTo>
                  <a:pt x="2460625" y="261997"/>
                  <a:pt x="2476860" y="254742"/>
                  <a:pt x="2492375" y="246122"/>
                </a:cubicBezTo>
                <a:cubicBezTo>
                  <a:pt x="2500714" y="241489"/>
                  <a:pt x="2507419" y="234005"/>
                  <a:pt x="2516187" y="230247"/>
                </a:cubicBezTo>
                <a:cubicBezTo>
                  <a:pt x="2526214" y="225950"/>
                  <a:pt x="2537354" y="224956"/>
                  <a:pt x="2547937" y="222310"/>
                </a:cubicBezTo>
                <a:cubicBezTo>
                  <a:pt x="2610240" y="234770"/>
                  <a:pt x="2612153" y="238805"/>
                  <a:pt x="2698750" y="222310"/>
                </a:cubicBezTo>
                <a:cubicBezTo>
                  <a:pt x="2718544" y="218540"/>
                  <a:pt x="2735791" y="206435"/>
                  <a:pt x="2754312" y="198497"/>
                </a:cubicBezTo>
                <a:cubicBezTo>
                  <a:pt x="2764066" y="188743"/>
                  <a:pt x="2789579" y="166345"/>
                  <a:pt x="2794000" y="150872"/>
                </a:cubicBezTo>
                <a:cubicBezTo>
                  <a:pt x="2802127" y="122429"/>
                  <a:pt x="2791839" y="87007"/>
                  <a:pt x="2809875" y="63560"/>
                </a:cubicBezTo>
                <a:cubicBezTo>
                  <a:pt x="2823178" y="46266"/>
                  <a:pt x="2873375" y="47685"/>
                  <a:pt x="2873375" y="47685"/>
                </a:cubicBezTo>
                <a:cubicBezTo>
                  <a:pt x="2924742" y="-3682"/>
                  <a:pt x="2898549" y="60"/>
                  <a:pt x="2936875" y="60"/>
                </a:cubicBezTo>
              </a:path>
            </a:pathLst>
          </a:custGeom>
          <a:noFill/>
          <a:ln>
            <a:solidFill>
              <a:srgbClr val="223B68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18" name="Forma libre: forma 17">
            <a:extLst>
              <a:ext uri="{FF2B5EF4-FFF2-40B4-BE49-F238E27FC236}">
                <a16:creationId xmlns:a16="http://schemas.microsoft.com/office/drawing/2014/main" id="{582A1E1E-EF3F-2383-C83E-4DB09D9DD7A7}"/>
              </a:ext>
            </a:extLst>
          </xdr:cNvPr>
          <xdr:cNvSpPr/>
        </xdr:nvSpPr>
        <xdr:spPr>
          <a:xfrm>
            <a:off x="16573500" y="4992688"/>
            <a:ext cx="2222808" cy="2055812"/>
          </a:xfrm>
          <a:custGeom>
            <a:avLst/>
            <a:gdLst>
              <a:gd name="connsiteX0" fmla="*/ 2206625 w 2222808"/>
              <a:gd name="connsiteY0" fmla="*/ 2055812 h 2055812"/>
              <a:gd name="connsiteX1" fmla="*/ 2182813 w 2222808"/>
              <a:gd name="connsiteY1" fmla="*/ 1952625 h 2055812"/>
              <a:gd name="connsiteX2" fmla="*/ 2222500 w 2222808"/>
              <a:gd name="connsiteY2" fmla="*/ 1873250 h 2055812"/>
              <a:gd name="connsiteX3" fmla="*/ 2198688 w 2222808"/>
              <a:gd name="connsiteY3" fmla="*/ 1801812 h 2055812"/>
              <a:gd name="connsiteX4" fmla="*/ 2190750 w 2222808"/>
              <a:gd name="connsiteY4" fmla="*/ 1770062 h 2055812"/>
              <a:gd name="connsiteX5" fmla="*/ 2198688 w 2222808"/>
              <a:gd name="connsiteY5" fmla="*/ 1674812 h 2055812"/>
              <a:gd name="connsiteX6" fmla="*/ 2190750 w 2222808"/>
              <a:gd name="connsiteY6" fmla="*/ 1627187 h 2055812"/>
              <a:gd name="connsiteX7" fmla="*/ 2174875 w 2222808"/>
              <a:gd name="connsiteY7" fmla="*/ 1571625 h 2055812"/>
              <a:gd name="connsiteX8" fmla="*/ 2159000 w 2222808"/>
              <a:gd name="connsiteY8" fmla="*/ 1460500 h 2055812"/>
              <a:gd name="connsiteX9" fmla="*/ 2151063 w 2222808"/>
              <a:gd name="connsiteY9" fmla="*/ 1436687 h 2055812"/>
              <a:gd name="connsiteX10" fmla="*/ 2119313 w 2222808"/>
              <a:gd name="connsiteY10" fmla="*/ 1428750 h 2055812"/>
              <a:gd name="connsiteX11" fmla="*/ 2079625 w 2222808"/>
              <a:gd name="connsiteY11" fmla="*/ 1420812 h 2055812"/>
              <a:gd name="connsiteX12" fmla="*/ 2047875 w 2222808"/>
              <a:gd name="connsiteY12" fmla="*/ 1397000 h 2055812"/>
              <a:gd name="connsiteX13" fmla="*/ 2000250 w 2222808"/>
              <a:gd name="connsiteY13" fmla="*/ 1349375 h 2055812"/>
              <a:gd name="connsiteX14" fmla="*/ 1968500 w 2222808"/>
              <a:gd name="connsiteY14" fmla="*/ 1341437 h 2055812"/>
              <a:gd name="connsiteX15" fmla="*/ 1936750 w 2222808"/>
              <a:gd name="connsiteY15" fmla="*/ 1309687 h 2055812"/>
              <a:gd name="connsiteX16" fmla="*/ 1881188 w 2222808"/>
              <a:gd name="connsiteY16" fmla="*/ 1285875 h 2055812"/>
              <a:gd name="connsiteX17" fmla="*/ 1793875 w 2222808"/>
              <a:gd name="connsiteY17" fmla="*/ 1214437 h 2055812"/>
              <a:gd name="connsiteX18" fmla="*/ 1682750 w 2222808"/>
              <a:gd name="connsiteY18" fmla="*/ 1182687 h 2055812"/>
              <a:gd name="connsiteX19" fmla="*/ 1635125 w 2222808"/>
              <a:gd name="connsiteY19" fmla="*/ 1166812 h 2055812"/>
              <a:gd name="connsiteX20" fmla="*/ 1587500 w 2222808"/>
              <a:gd name="connsiteY20" fmla="*/ 1135062 h 2055812"/>
              <a:gd name="connsiteX21" fmla="*/ 1555750 w 2222808"/>
              <a:gd name="connsiteY21" fmla="*/ 1087437 h 2055812"/>
              <a:gd name="connsiteX22" fmla="*/ 1539875 w 2222808"/>
              <a:gd name="connsiteY22" fmla="*/ 1055687 h 2055812"/>
              <a:gd name="connsiteX23" fmla="*/ 1444625 w 2222808"/>
              <a:gd name="connsiteY23" fmla="*/ 992187 h 2055812"/>
              <a:gd name="connsiteX24" fmla="*/ 1420813 w 2222808"/>
              <a:gd name="connsiteY24" fmla="*/ 976312 h 2055812"/>
              <a:gd name="connsiteX25" fmla="*/ 1357313 w 2222808"/>
              <a:gd name="connsiteY25" fmla="*/ 960437 h 2055812"/>
              <a:gd name="connsiteX26" fmla="*/ 1270000 w 2222808"/>
              <a:gd name="connsiteY26" fmla="*/ 944562 h 2055812"/>
              <a:gd name="connsiteX27" fmla="*/ 1246188 w 2222808"/>
              <a:gd name="connsiteY27" fmla="*/ 928687 h 2055812"/>
              <a:gd name="connsiteX28" fmla="*/ 1270000 w 2222808"/>
              <a:gd name="connsiteY28" fmla="*/ 920750 h 2055812"/>
              <a:gd name="connsiteX29" fmla="*/ 1301750 w 2222808"/>
              <a:gd name="connsiteY29" fmla="*/ 912812 h 2055812"/>
              <a:gd name="connsiteX30" fmla="*/ 1317625 w 2222808"/>
              <a:gd name="connsiteY30" fmla="*/ 881062 h 2055812"/>
              <a:gd name="connsiteX31" fmla="*/ 1293813 w 2222808"/>
              <a:gd name="connsiteY31" fmla="*/ 873125 h 2055812"/>
              <a:gd name="connsiteX32" fmla="*/ 1222375 w 2222808"/>
              <a:gd name="connsiteY32" fmla="*/ 904875 h 2055812"/>
              <a:gd name="connsiteX33" fmla="*/ 1095375 w 2222808"/>
              <a:gd name="connsiteY33" fmla="*/ 896937 h 2055812"/>
              <a:gd name="connsiteX34" fmla="*/ 1071563 w 2222808"/>
              <a:gd name="connsiteY34" fmla="*/ 873125 h 2055812"/>
              <a:gd name="connsiteX35" fmla="*/ 984250 w 2222808"/>
              <a:gd name="connsiteY35" fmla="*/ 881062 h 2055812"/>
              <a:gd name="connsiteX36" fmla="*/ 928688 w 2222808"/>
              <a:gd name="connsiteY36" fmla="*/ 952500 h 2055812"/>
              <a:gd name="connsiteX37" fmla="*/ 889000 w 2222808"/>
              <a:gd name="connsiteY37" fmla="*/ 968375 h 2055812"/>
              <a:gd name="connsiteX38" fmla="*/ 817563 w 2222808"/>
              <a:gd name="connsiteY38" fmla="*/ 984250 h 2055812"/>
              <a:gd name="connsiteX39" fmla="*/ 769938 w 2222808"/>
              <a:gd name="connsiteY39" fmla="*/ 928687 h 2055812"/>
              <a:gd name="connsiteX40" fmla="*/ 754063 w 2222808"/>
              <a:gd name="connsiteY40" fmla="*/ 904875 h 2055812"/>
              <a:gd name="connsiteX41" fmla="*/ 730250 w 2222808"/>
              <a:gd name="connsiteY41" fmla="*/ 896937 h 2055812"/>
              <a:gd name="connsiteX42" fmla="*/ 698500 w 2222808"/>
              <a:gd name="connsiteY42" fmla="*/ 857250 h 2055812"/>
              <a:gd name="connsiteX43" fmla="*/ 674688 w 2222808"/>
              <a:gd name="connsiteY43" fmla="*/ 833437 h 2055812"/>
              <a:gd name="connsiteX44" fmla="*/ 627063 w 2222808"/>
              <a:gd name="connsiteY44" fmla="*/ 777875 h 2055812"/>
              <a:gd name="connsiteX45" fmla="*/ 595313 w 2222808"/>
              <a:gd name="connsiteY45" fmla="*/ 762000 h 2055812"/>
              <a:gd name="connsiteX46" fmla="*/ 523875 w 2222808"/>
              <a:gd name="connsiteY46" fmla="*/ 722312 h 2055812"/>
              <a:gd name="connsiteX47" fmla="*/ 500063 w 2222808"/>
              <a:gd name="connsiteY47" fmla="*/ 706437 h 2055812"/>
              <a:gd name="connsiteX48" fmla="*/ 420688 w 2222808"/>
              <a:gd name="connsiteY48" fmla="*/ 698500 h 2055812"/>
              <a:gd name="connsiteX49" fmla="*/ 365125 w 2222808"/>
              <a:gd name="connsiteY49" fmla="*/ 682625 h 2055812"/>
              <a:gd name="connsiteX50" fmla="*/ 317500 w 2222808"/>
              <a:gd name="connsiteY50" fmla="*/ 658812 h 2055812"/>
              <a:gd name="connsiteX51" fmla="*/ 246063 w 2222808"/>
              <a:gd name="connsiteY51" fmla="*/ 603250 h 2055812"/>
              <a:gd name="connsiteX52" fmla="*/ 174625 w 2222808"/>
              <a:gd name="connsiteY52" fmla="*/ 547687 h 2055812"/>
              <a:gd name="connsiteX53" fmla="*/ 150813 w 2222808"/>
              <a:gd name="connsiteY53" fmla="*/ 531812 h 2055812"/>
              <a:gd name="connsiteX54" fmla="*/ 79375 w 2222808"/>
              <a:gd name="connsiteY54" fmla="*/ 500062 h 2055812"/>
              <a:gd name="connsiteX55" fmla="*/ 23813 w 2222808"/>
              <a:gd name="connsiteY55" fmla="*/ 468312 h 2055812"/>
              <a:gd name="connsiteX56" fmla="*/ 15875 w 2222808"/>
              <a:gd name="connsiteY56" fmla="*/ 412750 h 2055812"/>
              <a:gd name="connsiteX57" fmla="*/ 63500 w 2222808"/>
              <a:gd name="connsiteY57" fmla="*/ 404812 h 2055812"/>
              <a:gd name="connsiteX58" fmla="*/ 95250 w 2222808"/>
              <a:gd name="connsiteY58" fmla="*/ 373062 h 2055812"/>
              <a:gd name="connsiteX59" fmla="*/ 95250 w 2222808"/>
              <a:gd name="connsiteY59" fmla="*/ 285750 h 2055812"/>
              <a:gd name="connsiteX60" fmla="*/ 71438 w 2222808"/>
              <a:gd name="connsiteY60" fmla="*/ 254000 h 2055812"/>
              <a:gd name="connsiteX61" fmla="*/ 63500 w 2222808"/>
              <a:gd name="connsiteY61" fmla="*/ 206375 h 2055812"/>
              <a:gd name="connsiteX62" fmla="*/ 39688 w 2222808"/>
              <a:gd name="connsiteY62" fmla="*/ 190500 h 2055812"/>
              <a:gd name="connsiteX63" fmla="*/ 0 w 2222808"/>
              <a:gd name="connsiteY63" fmla="*/ 150812 h 2055812"/>
              <a:gd name="connsiteX64" fmla="*/ 71438 w 2222808"/>
              <a:gd name="connsiteY64" fmla="*/ 87312 h 2055812"/>
              <a:gd name="connsiteX65" fmla="*/ 87313 w 2222808"/>
              <a:gd name="connsiteY65" fmla="*/ 63500 h 2055812"/>
              <a:gd name="connsiteX66" fmla="*/ 111125 w 2222808"/>
              <a:gd name="connsiteY66" fmla="*/ 0 h 2055812"/>
              <a:gd name="connsiteX67" fmla="*/ 198438 w 2222808"/>
              <a:gd name="connsiteY67" fmla="*/ 23812 h 2055812"/>
              <a:gd name="connsiteX68" fmla="*/ 246063 w 2222808"/>
              <a:gd name="connsiteY68" fmla="*/ 39687 h 2055812"/>
              <a:gd name="connsiteX69" fmla="*/ 293688 w 2222808"/>
              <a:gd name="connsiteY69" fmla="*/ 23812 h 205581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  <a:cxn ang="0">
                <a:pos x="connsiteX62" y="connsiteY62"/>
              </a:cxn>
              <a:cxn ang="0">
                <a:pos x="connsiteX63" y="connsiteY63"/>
              </a:cxn>
              <a:cxn ang="0">
                <a:pos x="connsiteX64" y="connsiteY64"/>
              </a:cxn>
              <a:cxn ang="0">
                <a:pos x="connsiteX65" y="connsiteY65"/>
              </a:cxn>
              <a:cxn ang="0">
                <a:pos x="connsiteX66" y="connsiteY66"/>
              </a:cxn>
              <a:cxn ang="0">
                <a:pos x="connsiteX67" y="connsiteY67"/>
              </a:cxn>
              <a:cxn ang="0">
                <a:pos x="connsiteX68" y="connsiteY68"/>
              </a:cxn>
              <a:cxn ang="0">
                <a:pos x="connsiteX69" y="connsiteY69"/>
              </a:cxn>
            </a:cxnLst>
            <a:rect l="l" t="t" r="r" b="b"/>
            <a:pathLst>
              <a:path w="2222808" h="2055812">
                <a:moveTo>
                  <a:pt x="2206625" y="2055812"/>
                </a:moveTo>
                <a:cubicBezTo>
                  <a:pt x="2189109" y="1968233"/>
                  <a:pt x="2199282" y="2002035"/>
                  <a:pt x="2182813" y="1952625"/>
                </a:cubicBezTo>
                <a:cubicBezTo>
                  <a:pt x="2191772" y="1939186"/>
                  <a:pt x="2226427" y="1898774"/>
                  <a:pt x="2222500" y="1873250"/>
                </a:cubicBezTo>
                <a:cubicBezTo>
                  <a:pt x="2218683" y="1848441"/>
                  <a:pt x="2204776" y="1826163"/>
                  <a:pt x="2198688" y="1801812"/>
                </a:cubicBezTo>
                <a:lnTo>
                  <a:pt x="2190750" y="1770062"/>
                </a:lnTo>
                <a:cubicBezTo>
                  <a:pt x="2193396" y="1738312"/>
                  <a:pt x="2198688" y="1706672"/>
                  <a:pt x="2198688" y="1674812"/>
                </a:cubicBezTo>
                <a:cubicBezTo>
                  <a:pt x="2198688" y="1658718"/>
                  <a:pt x="2194241" y="1642898"/>
                  <a:pt x="2190750" y="1627187"/>
                </a:cubicBezTo>
                <a:cubicBezTo>
                  <a:pt x="2178171" y="1570582"/>
                  <a:pt x="2186397" y="1640756"/>
                  <a:pt x="2174875" y="1571625"/>
                </a:cubicBezTo>
                <a:cubicBezTo>
                  <a:pt x="2168723" y="1534716"/>
                  <a:pt x="2165502" y="1497348"/>
                  <a:pt x="2159000" y="1460500"/>
                </a:cubicBezTo>
                <a:cubicBezTo>
                  <a:pt x="2157546" y="1452260"/>
                  <a:pt x="2157596" y="1441914"/>
                  <a:pt x="2151063" y="1436687"/>
                </a:cubicBezTo>
                <a:cubicBezTo>
                  <a:pt x="2142545" y="1429872"/>
                  <a:pt x="2129962" y="1431116"/>
                  <a:pt x="2119313" y="1428750"/>
                </a:cubicBezTo>
                <a:cubicBezTo>
                  <a:pt x="2106143" y="1425823"/>
                  <a:pt x="2092854" y="1423458"/>
                  <a:pt x="2079625" y="1420812"/>
                </a:cubicBezTo>
                <a:cubicBezTo>
                  <a:pt x="2069042" y="1412875"/>
                  <a:pt x="2057708" y="1405850"/>
                  <a:pt x="2047875" y="1397000"/>
                </a:cubicBezTo>
                <a:cubicBezTo>
                  <a:pt x="2031188" y="1381981"/>
                  <a:pt x="2022030" y="1354820"/>
                  <a:pt x="2000250" y="1349375"/>
                </a:cubicBezTo>
                <a:lnTo>
                  <a:pt x="1968500" y="1341437"/>
                </a:lnTo>
                <a:cubicBezTo>
                  <a:pt x="1957917" y="1330854"/>
                  <a:pt x="1948929" y="1318386"/>
                  <a:pt x="1936750" y="1309687"/>
                </a:cubicBezTo>
                <a:cubicBezTo>
                  <a:pt x="1843083" y="1242782"/>
                  <a:pt x="2003338" y="1383595"/>
                  <a:pt x="1881188" y="1285875"/>
                </a:cubicBezTo>
                <a:cubicBezTo>
                  <a:pt x="1824879" y="1240828"/>
                  <a:pt x="1851285" y="1240533"/>
                  <a:pt x="1793875" y="1214437"/>
                </a:cubicBezTo>
                <a:cubicBezTo>
                  <a:pt x="1761669" y="1199798"/>
                  <a:pt x="1715393" y="1192014"/>
                  <a:pt x="1682750" y="1182687"/>
                </a:cubicBezTo>
                <a:cubicBezTo>
                  <a:pt x="1666660" y="1178090"/>
                  <a:pt x="1650092" y="1174296"/>
                  <a:pt x="1635125" y="1166812"/>
                </a:cubicBezTo>
                <a:cubicBezTo>
                  <a:pt x="1618060" y="1158279"/>
                  <a:pt x="1603375" y="1145645"/>
                  <a:pt x="1587500" y="1135062"/>
                </a:cubicBezTo>
                <a:cubicBezTo>
                  <a:pt x="1576917" y="1119187"/>
                  <a:pt x="1564283" y="1104502"/>
                  <a:pt x="1555750" y="1087437"/>
                </a:cubicBezTo>
                <a:cubicBezTo>
                  <a:pt x="1550458" y="1076854"/>
                  <a:pt x="1548242" y="1064054"/>
                  <a:pt x="1539875" y="1055687"/>
                </a:cubicBezTo>
                <a:cubicBezTo>
                  <a:pt x="1488819" y="1004631"/>
                  <a:pt x="1490241" y="1018254"/>
                  <a:pt x="1444625" y="992187"/>
                </a:cubicBezTo>
                <a:cubicBezTo>
                  <a:pt x="1436342" y="987454"/>
                  <a:pt x="1429345" y="980578"/>
                  <a:pt x="1420813" y="976312"/>
                </a:cubicBezTo>
                <a:cubicBezTo>
                  <a:pt x="1403797" y="967804"/>
                  <a:pt x="1373608" y="964058"/>
                  <a:pt x="1357313" y="960437"/>
                </a:cubicBezTo>
                <a:cubicBezTo>
                  <a:pt x="1289957" y="945469"/>
                  <a:pt x="1366299" y="958320"/>
                  <a:pt x="1270000" y="944562"/>
                </a:cubicBezTo>
                <a:cubicBezTo>
                  <a:pt x="1262063" y="939270"/>
                  <a:pt x="1246188" y="938227"/>
                  <a:pt x="1246188" y="928687"/>
                </a:cubicBezTo>
                <a:cubicBezTo>
                  <a:pt x="1246188" y="920320"/>
                  <a:pt x="1261955" y="923049"/>
                  <a:pt x="1270000" y="920750"/>
                </a:cubicBezTo>
                <a:cubicBezTo>
                  <a:pt x="1280489" y="917753"/>
                  <a:pt x="1291167" y="915458"/>
                  <a:pt x="1301750" y="912812"/>
                </a:cubicBezTo>
                <a:cubicBezTo>
                  <a:pt x="1307042" y="902229"/>
                  <a:pt x="1319945" y="892665"/>
                  <a:pt x="1317625" y="881062"/>
                </a:cubicBezTo>
                <a:cubicBezTo>
                  <a:pt x="1315984" y="872858"/>
                  <a:pt x="1302128" y="872201"/>
                  <a:pt x="1293813" y="873125"/>
                </a:cubicBezTo>
                <a:cubicBezTo>
                  <a:pt x="1259808" y="876904"/>
                  <a:pt x="1247187" y="888334"/>
                  <a:pt x="1222375" y="904875"/>
                </a:cubicBezTo>
                <a:cubicBezTo>
                  <a:pt x="1180042" y="902229"/>
                  <a:pt x="1136881" y="905675"/>
                  <a:pt x="1095375" y="896937"/>
                </a:cubicBezTo>
                <a:cubicBezTo>
                  <a:pt x="1084391" y="894625"/>
                  <a:pt x="1082675" y="874712"/>
                  <a:pt x="1071563" y="873125"/>
                </a:cubicBezTo>
                <a:cubicBezTo>
                  <a:pt x="1042632" y="868992"/>
                  <a:pt x="1013354" y="878416"/>
                  <a:pt x="984250" y="881062"/>
                </a:cubicBezTo>
                <a:cubicBezTo>
                  <a:pt x="855187" y="945595"/>
                  <a:pt x="1000335" y="856971"/>
                  <a:pt x="928688" y="952500"/>
                </a:cubicBezTo>
                <a:cubicBezTo>
                  <a:pt x="920139" y="963899"/>
                  <a:pt x="902700" y="964461"/>
                  <a:pt x="889000" y="968375"/>
                </a:cubicBezTo>
                <a:cubicBezTo>
                  <a:pt x="865545" y="975076"/>
                  <a:pt x="841375" y="978958"/>
                  <a:pt x="817563" y="984250"/>
                </a:cubicBezTo>
                <a:cubicBezTo>
                  <a:pt x="788714" y="955401"/>
                  <a:pt x="795396" y="964328"/>
                  <a:pt x="769938" y="928687"/>
                </a:cubicBezTo>
                <a:cubicBezTo>
                  <a:pt x="764393" y="920924"/>
                  <a:pt x="761512" y="910834"/>
                  <a:pt x="754063" y="904875"/>
                </a:cubicBezTo>
                <a:cubicBezTo>
                  <a:pt x="747529" y="899648"/>
                  <a:pt x="738188" y="899583"/>
                  <a:pt x="730250" y="896937"/>
                </a:cubicBezTo>
                <a:cubicBezTo>
                  <a:pt x="719667" y="883708"/>
                  <a:pt x="709656" y="870000"/>
                  <a:pt x="698500" y="857250"/>
                </a:cubicBezTo>
                <a:cubicBezTo>
                  <a:pt x="691108" y="848802"/>
                  <a:pt x="681993" y="841960"/>
                  <a:pt x="674688" y="833437"/>
                </a:cubicBezTo>
                <a:cubicBezTo>
                  <a:pt x="657575" y="813472"/>
                  <a:pt x="648830" y="793423"/>
                  <a:pt x="627063" y="777875"/>
                </a:cubicBezTo>
                <a:cubicBezTo>
                  <a:pt x="617434" y="770998"/>
                  <a:pt x="605347" y="768271"/>
                  <a:pt x="595313" y="762000"/>
                </a:cubicBezTo>
                <a:cubicBezTo>
                  <a:pt x="470413" y="683937"/>
                  <a:pt x="663895" y="792322"/>
                  <a:pt x="523875" y="722312"/>
                </a:cubicBezTo>
                <a:cubicBezTo>
                  <a:pt x="515343" y="718046"/>
                  <a:pt x="509358" y="708582"/>
                  <a:pt x="500063" y="706437"/>
                </a:cubicBezTo>
                <a:cubicBezTo>
                  <a:pt x="474154" y="700458"/>
                  <a:pt x="447146" y="701146"/>
                  <a:pt x="420688" y="698500"/>
                </a:cubicBezTo>
                <a:cubicBezTo>
                  <a:pt x="410522" y="695958"/>
                  <a:pt x="376508" y="688316"/>
                  <a:pt x="365125" y="682625"/>
                </a:cubicBezTo>
                <a:cubicBezTo>
                  <a:pt x="303568" y="651847"/>
                  <a:pt x="377362" y="678767"/>
                  <a:pt x="317500" y="658812"/>
                </a:cubicBezTo>
                <a:cubicBezTo>
                  <a:pt x="263959" y="605271"/>
                  <a:pt x="291174" y="618286"/>
                  <a:pt x="246063" y="603250"/>
                </a:cubicBezTo>
                <a:cubicBezTo>
                  <a:pt x="208758" y="565945"/>
                  <a:pt x="231591" y="585665"/>
                  <a:pt x="174625" y="547687"/>
                </a:cubicBezTo>
                <a:cubicBezTo>
                  <a:pt x="166688" y="542395"/>
                  <a:pt x="159670" y="535355"/>
                  <a:pt x="150813" y="531812"/>
                </a:cubicBezTo>
                <a:cubicBezTo>
                  <a:pt x="122463" y="520472"/>
                  <a:pt x="105330" y="514893"/>
                  <a:pt x="79375" y="500062"/>
                </a:cubicBezTo>
                <a:cubicBezTo>
                  <a:pt x="841" y="455185"/>
                  <a:pt x="119760" y="516285"/>
                  <a:pt x="23813" y="468312"/>
                </a:cubicBezTo>
                <a:cubicBezTo>
                  <a:pt x="15189" y="455376"/>
                  <a:pt x="-9587" y="430938"/>
                  <a:pt x="15875" y="412750"/>
                </a:cubicBezTo>
                <a:cubicBezTo>
                  <a:pt x="28971" y="403395"/>
                  <a:pt x="47625" y="407458"/>
                  <a:pt x="63500" y="404812"/>
                </a:cubicBezTo>
                <a:cubicBezTo>
                  <a:pt x="74083" y="394229"/>
                  <a:pt x="89493" y="386878"/>
                  <a:pt x="95250" y="373062"/>
                </a:cubicBezTo>
                <a:cubicBezTo>
                  <a:pt x="105062" y="349512"/>
                  <a:pt x="109606" y="310873"/>
                  <a:pt x="95250" y="285750"/>
                </a:cubicBezTo>
                <a:cubicBezTo>
                  <a:pt x="88687" y="274264"/>
                  <a:pt x="79375" y="264583"/>
                  <a:pt x="71438" y="254000"/>
                </a:cubicBezTo>
                <a:cubicBezTo>
                  <a:pt x="68792" y="238125"/>
                  <a:pt x="70697" y="220770"/>
                  <a:pt x="63500" y="206375"/>
                </a:cubicBezTo>
                <a:cubicBezTo>
                  <a:pt x="59234" y="197843"/>
                  <a:pt x="46867" y="196782"/>
                  <a:pt x="39688" y="190500"/>
                </a:cubicBezTo>
                <a:cubicBezTo>
                  <a:pt x="25608" y="178180"/>
                  <a:pt x="13229" y="164041"/>
                  <a:pt x="0" y="150812"/>
                </a:cubicBezTo>
                <a:cubicBezTo>
                  <a:pt x="34108" y="125231"/>
                  <a:pt x="40228" y="122981"/>
                  <a:pt x="71438" y="87312"/>
                </a:cubicBezTo>
                <a:cubicBezTo>
                  <a:pt x="77720" y="80133"/>
                  <a:pt x="83047" y="72032"/>
                  <a:pt x="87313" y="63500"/>
                </a:cubicBezTo>
                <a:cubicBezTo>
                  <a:pt x="96805" y="44517"/>
                  <a:pt x="104255" y="20610"/>
                  <a:pt x="111125" y="0"/>
                </a:cubicBezTo>
                <a:cubicBezTo>
                  <a:pt x="255043" y="47973"/>
                  <a:pt x="75026" y="-9845"/>
                  <a:pt x="198438" y="23812"/>
                </a:cubicBezTo>
                <a:cubicBezTo>
                  <a:pt x="214582" y="28215"/>
                  <a:pt x="229329" y="39687"/>
                  <a:pt x="246063" y="39687"/>
                </a:cubicBezTo>
                <a:cubicBezTo>
                  <a:pt x="262797" y="39687"/>
                  <a:pt x="277813" y="29104"/>
                  <a:pt x="293688" y="23812"/>
                </a:cubicBezTo>
              </a:path>
            </a:pathLst>
          </a:custGeom>
          <a:noFill/>
          <a:ln>
            <a:solidFill>
              <a:srgbClr val="223B68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19" name="Forma libre: forma 18">
            <a:extLst>
              <a:ext uri="{FF2B5EF4-FFF2-40B4-BE49-F238E27FC236}">
                <a16:creationId xmlns:a16="http://schemas.microsoft.com/office/drawing/2014/main" id="{F57A6FD9-2D96-F92F-1C0C-3E14D81C84F9}"/>
              </a:ext>
            </a:extLst>
          </xdr:cNvPr>
          <xdr:cNvSpPr/>
        </xdr:nvSpPr>
        <xdr:spPr>
          <a:xfrm>
            <a:off x="14271625" y="5191125"/>
            <a:ext cx="1738313" cy="1262063"/>
          </a:xfrm>
          <a:custGeom>
            <a:avLst/>
            <a:gdLst>
              <a:gd name="connsiteX0" fmla="*/ 1214438 w 1738313"/>
              <a:gd name="connsiteY0" fmla="*/ 1262063 h 1262063"/>
              <a:gd name="connsiteX1" fmla="*/ 1254125 w 1738313"/>
              <a:gd name="connsiteY1" fmla="*/ 1246188 h 1262063"/>
              <a:gd name="connsiteX2" fmla="*/ 1270000 w 1738313"/>
              <a:gd name="connsiteY2" fmla="*/ 1222375 h 1262063"/>
              <a:gd name="connsiteX3" fmla="*/ 1293813 w 1738313"/>
              <a:gd name="connsiteY3" fmla="*/ 1190625 h 1262063"/>
              <a:gd name="connsiteX4" fmla="*/ 1309688 w 1738313"/>
              <a:gd name="connsiteY4" fmla="*/ 1079500 h 1262063"/>
              <a:gd name="connsiteX5" fmla="*/ 1333500 w 1738313"/>
              <a:gd name="connsiteY5" fmla="*/ 1055688 h 1262063"/>
              <a:gd name="connsiteX6" fmla="*/ 1381125 w 1738313"/>
              <a:gd name="connsiteY6" fmla="*/ 984250 h 1262063"/>
              <a:gd name="connsiteX7" fmla="*/ 1389063 w 1738313"/>
              <a:gd name="connsiteY7" fmla="*/ 928688 h 1262063"/>
              <a:gd name="connsiteX8" fmla="*/ 1412875 w 1738313"/>
              <a:gd name="connsiteY8" fmla="*/ 904875 h 1262063"/>
              <a:gd name="connsiteX9" fmla="*/ 1436688 w 1738313"/>
              <a:gd name="connsiteY9" fmla="*/ 865188 h 1262063"/>
              <a:gd name="connsiteX10" fmla="*/ 1397000 w 1738313"/>
              <a:gd name="connsiteY10" fmla="*/ 825500 h 1262063"/>
              <a:gd name="connsiteX11" fmla="*/ 1444625 w 1738313"/>
              <a:gd name="connsiteY11" fmla="*/ 762000 h 1262063"/>
              <a:gd name="connsiteX12" fmla="*/ 1516063 w 1738313"/>
              <a:gd name="connsiteY12" fmla="*/ 698500 h 1262063"/>
              <a:gd name="connsiteX13" fmla="*/ 1539875 w 1738313"/>
              <a:gd name="connsiteY13" fmla="*/ 619125 h 1262063"/>
              <a:gd name="connsiteX14" fmla="*/ 1563688 w 1738313"/>
              <a:gd name="connsiteY14" fmla="*/ 555625 h 1262063"/>
              <a:gd name="connsiteX15" fmla="*/ 1595438 w 1738313"/>
              <a:gd name="connsiteY15" fmla="*/ 547688 h 1262063"/>
              <a:gd name="connsiteX16" fmla="*/ 1682750 w 1738313"/>
              <a:gd name="connsiteY16" fmla="*/ 555625 h 1262063"/>
              <a:gd name="connsiteX17" fmla="*/ 1714500 w 1738313"/>
              <a:gd name="connsiteY17" fmla="*/ 563563 h 1262063"/>
              <a:gd name="connsiteX18" fmla="*/ 1738313 w 1738313"/>
              <a:gd name="connsiteY18" fmla="*/ 523875 h 1262063"/>
              <a:gd name="connsiteX19" fmla="*/ 1690688 w 1738313"/>
              <a:gd name="connsiteY19" fmla="*/ 508000 h 1262063"/>
              <a:gd name="connsiteX20" fmla="*/ 1666875 w 1738313"/>
              <a:gd name="connsiteY20" fmla="*/ 404813 h 1262063"/>
              <a:gd name="connsiteX21" fmla="*/ 1658938 w 1738313"/>
              <a:gd name="connsiteY21" fmla="*/ 373063 h 1262063"/>
              <a:gd name="connsiteX22" fmla="*/ 1643063 w 1738313"/>
              <a:gd name="connsiteY22" fmla="*/ 341313 h 1262063"/>
              <a:gd name="connsiteX23" fmla="*/ 1603375 w 1738313"/>
              <a:gd name="connsiteY23" fmla="*/ 222250 h 1262063"/>
              <a:gd name="connsiteX24" fmla="*/ 1579563 w 1738313"/>
              <a:gd name="connsiteY24" fmla="*/ 238125 h 1262063"/>
              <a:gd name="connsiteX25" fmla="*/ 1444625 w 1738313"/>
              <a:gd name="connsiteY25" fmla="*/ 222250 h 1262063"/>
              <a:gd name="connsiteX26" fmla="*/ 1412875 w 1738313"/>
              <a:gd name="connsiteY26" fmla="*/ 214313 h 1262063"/>
              <a:gd name="connsiteX27" fmla="*/ 1381125 w 1738313"/>
              <a:gd name="connsiteY27" fmla="*/ 222250 h 1262063"/>
              <a:gd name="connsiteX28" fmla="*/ 1254125 w 1738313"/>
              <a:gd name="connsiteY28" fmla="*/ 230188 h 1262063"/>
              <a:gd name="connsiteX29" fmla="*/ 1135063 w 1738313"/>
              <a:gd name="connsiteY29" fmla="*/ 222250 h 1262063"/>
              <a:gd name="connsiteX30" fmla="*/ 1095375 w 1738313"/>
              <a:gd name="connsiteY30" fmla="*/ 190500 h 1262063"/>
              <a:gd name="connsiteX31" fmla="*/ 1008063 w 1738313"/>
              <a:gd name="connsiteY31" fmla="*/ 198438 h 1262063"/>
              <a:gd name="connsiteX32" fmla="*/ 944563 w 1738313"/>
              <a:gd name="connsiteY32" fmla="*/ 198438 h 1262063"/>
              <a:gd name="connsiteX33" fmla="*/ 896938 w 1738313"/>
              <a:gd name="connsiteY33" fmla="*/ 134938 h 1262063"/>
              <a:gd name="connsiteX34" fmla="*/ 865188 w 1738313"/>
              <a:gd name="connsiteY34" fmla="*/ 127000 h 1262063"/>
              <a:gd name="connsiteX35" fmla="*/ 801688 w 1738313"/>
              <a:gd name="connsiteY35" fmla="*/ 87313 h 1262063"/>
              <a:gd name="connsiteX36" fmla="*/ 769938 w 1738313"/>
              <a:gd name="connsiteY36" fmla="*/ 63500 h 1262063"/>
              <a:gd name="connsiteX37" fmla="*/ 730250 w 1738313"/>
              <a:gd name="connsiteY37" fmla="*/ 55563 h 1262063"/>
              <a:gd name="connsiteX38" fmla="*/ 658813 w 1738313"/>
              <a:gd name="connsiteY38" fmla="*/ 71438 h 1262063"/>
              <a:gd name="connsiteX39" fmla="*/ 642938 w 1738313"/>
              <a:gd name="connsiteY39" fmla="*/ 31750 h 1262063"/>
              <a:gd name="connsiteX40" fmla="*/ 611188 w 1738313"/>
              <a:gd name="connsiteY40" fmla="*/ 0 h 1262063"/>
              <a:gd name="connsiteX41" fmla="*/ 404813 w 1738313"/>
              <a:gd name="connsiteY41" fmla="*/ 7938 h 1262063"/>
              <a:gd name="connsiteX42" fmla="*/ 373063 w 1738313"/>
              <a:gd name="connsiteY42" fmla="*/ 23813 h 1262063"/>
              <a:gd name="connsiteX43" fmla="*/ 301625 w 1738313"/>
              <a:gd name="connsiteY43" fmla="*/ 39688 h 1262063"/>
              <a:gd name="connsiteX44" fmla="*/ 214313 w 1738313"/>
              <a:gd name="connsiteY44" fmla="*/ 63500 h 1262063"/>
              <a:gd name="connsiteX45" fmla="*/ 134938 w 1738313"/>
              <a:gd name="connsiteY45" fmla="*/ 47625 h 1262063"/>
              <a:gd name="connsiteX46" fmla="*/ 111125 w 1738313"/>
              <a:gd name="connsiteY46" fmla="*/ 31750 h 1262063"/>
              <a:gd name="connsiteX47" fmla="*/ 71438 w 1738313"/>
              <a:gd name="connsiteY47" fmla="*/ 15875 h 1262063"/>
              <a:gd name="connsiteX48" fmla="*/ 0 w 1738313"/>
              <a:gd name="connsiteY48" fmla="*/ 0 h 126206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</a:cxnLst>
            <a:rect l="l" t="t" r="r" b="b"/>
            <a:pathLst>
              <a:path w="1738313" h="1262063">
                <a:moveTo>
                  <a:pt x="1214438" y="1262063"/>
                </a:moveTo>
                <a:cubicBezTo>
                  <a:pt x="1227667" y="1256771"/>
                  <a:pt x="1242531" y="1254470"/>
                  <a:pt x="1254125" y="1246188"/>
                </a:cubicBezTo>
                <a:cubicBezTo>
                  <a:pt x="1261888" y="1240643"/>
                  <a:pt x="1264455" y="1230138"/>
                  <a:pt x="1270000" y="1222375"/>
                </a:cubicBezTo>
                <a:cubicBezTo>
                  <a:pt x="1277689" y="1211610"/>
                  <a:pt x="1285875" y="1201208"/>
                  <a:pt x="1293813" y="1190625"/>
                </a:cubicBezTo>
                <a:cubicBezTo>
                  <a:pt x="1299105" y="1153583"/>
                  <a:pt x="1299130" y="1115397"/>
                  <a:pt x="1309688" y="1079500"/>
                </a:cubicBezTo>
                <a:cubicBezTo>
                  <a:pt x="1312855" y="1068731"/>
                  <a:pt x="1326195" y="1064211"/>
                  <a:pt x="1333500" y="1055688"/>
                </a:cubicBezTo>
                <a:cubicBezTo>
                  <a:pt x="1355549" y="1029964"/>
                  <a:pt x="1363359" y="1013861"/>
                  <a:pt x="1381125" y="984250"/>
                </a:cubicBezTo>
                <a:cubicBezTo>
                  <a:pt x="1383771" y="965729"/>
                  <a:pt x="1382115" y="946059"/>
                  <a:pt x="1389063" y="928688"/>
                </a:cubicBezTo>
                <a:cubicBezTo>
                  <a:pt x="1393232" y="918266"/>
                  <a:pt x="1406140" y="913855"/>
                  <a:pt x="1412875" y="904875"/>
                </a:cubicBezTo>
                <a:cubicBezTo>
                  <a:pt x="1422132" y="892533"/>
                  <a:pt x="1428750" y="878417"/>
                  <a:pt x="1436688" y="865188"/>
                </a:cubicBezTo>
                <a:cubicBezTo>
                  <a:pt x="1427929" y="859349"/>
                  <a:pt x="1395175" y="841923"/>
                  <a:pt x="1397000" y="825500"/>
                </a:cubicBezTo>
                <a:cubicBezTo>
                  <a:pt x="1402813" y="773184"/>
                  <a:pt x="1418013" y="785656"/>
                  <a:pt x="1444625" y="762000"/>
                </a:cubicBezTo>
                <a:cubicBezTo>
                  <a:pt x="1526177" y="689509"/>
                  <a:pt x="1462020" y="734528"/>
                  <a:pt x="1516063" y="698500"/>
                </a:cubicBezTo>
                <a:cubicBezTo>
                  <a:pt x="1531737" y="620128"/>
                  <a:pt x="1513770" y="697439"/>
                  <a:pt x="1539875" y="619125"/>
                </a:cubicBezTo>
                <a:cubicBezTo>
                  <a:pt x="1545367" y="602649"/>
                  <a:pt x="1548700" y="568115"/>
                  <a:pt x="1563688" y="555625"/>
                </a:cubicBezTo>
                <a:cubicBezTo>
                  <a:pt x="1572069" y="548641"/>
                  <a:pt x="1584855" y="550334"/>
                  <a:pt x="1595438" y="547688"/>
                </a:cubicBezTo>
                <a:cubicBezTo>
                  <a:pt x="1624542" y="550334"/>
                  <a:pt x="1653782" y="551763"/>
                  <a:pt x="1682750" y="555625"/>
                </a:cubicBezTo>
                <a:cubicBezTo>
                  <a:pt x="1693563" y="557067"/>
                  <a:pt x="1705028" y="568975"/>
                  <a:pt x="1714500" y="563563"/>
                </a:cubicBezTo>
                <a:cubicBezTo>
                  <a:pt x="1727895" y="555909"/>
                  <a:pt x="1730375" y="537104"/>
                  <a:pt x="1738313" y="523875"/>
                </a:cubicBezTo>
                <a:cubicBezTo>
                  <a:pt x="1722438" y="518583"/>
                  <a:pt x="1695980" y="523875"/>
                  <a:pt x="1690688" y="508000"/>
                </a:cubicBezTo>
                <a:cubicBezTo>
                  <a:pt x="1673131" y="455334"/>
                  <a:pt x="1687892" y="502896"/>
                  <a:pt x="1666875" y="404813"/>
                </a:cubicBezTo>
                <a:cubicBezTo>
                  <a:pt x="1664589" y="394146"/>
                  <a:pt x="1662768" y="383277"/>
                  <a:pt x="1658938" y="373063"/>
                </a:cubicBezTo>
                <a:cubicBezTo>
                  <a:pt x="1654783" y="361984"/>
                  <a:pt x="1648355" y="351896"/>
                  <a:pt x="1643063" y="341313"/>
                </a:cubicBezTo>
                <a:cubicBezTo>
                  <a:pt x="1635546" y="213524"/>
                  <a:pt x="1675132" y="181245"/>
                  <a:pt x="1603375" y="222250"/>
                </a:cubicBezTo>
                <a:cubicBezTo>
                  <a:pt x="1595092" y="226983"/>
                  <a:pt x="1587500" y="232833"/>
                  <a:pt x="1579563" y="238125"/>
                </a:cubicBezTo>
                <a:cubicBezTo>
                  <a:pt x="1534584" y="232833"/>
                  <a:pt x="1489459" y="228655"/>
                  <a:pt x="1444625" y="222250"/>
                </a:cubicBezTo>
                <a:cubicBezTo>
                  <a:pt x="1433826" y="220707"/>
                  <a:pt x="1423784" y="214313"/>
                  <a:pt x="1412875" y="214313"/>
                </a:cubicBezTo>
                <a:cubicBezTo>
                  <a:pt x="1401966" y="214313"/>
                  <a:pt x="1391980" y="221165"/>
                  <a:pt x="1381125" y="222250"/>
                </a:cubicBezTo>
                <a:cubicBezTo>
                  <a:pt x="1338920" y="226471"/>
                  <a:pt x="1296458" y="227542"/>
                  <a:pt x="1254125" y="230188"/>
                </a:cubicBezTo>
                <a:cubicBezTo>
                  <a:pt x="1214438" y="227542"/>
                  <a:pt x="1173651" y="231897"/>
                  <a:pt x="1135063" y="222250"/>
                </a:cubicBezTo>
                <a:cubicBezTo>
                  <a:pt x="1118627" y="218141"/>
                  <a:pt x="1112027" y="193622"/>
                  <a:pt x="1095375" y="190500"/>
                </a:cubicBezTo>
                <a:cubicBezTo>
                  <a:pt x="1066651" y="185114"/>
                  <a:pt x="1037167" y="195792"/>
                  <a:pt x="1008063" y="198438"/>
                </a:cubicBezTo>
                <a:cubicBezTo>
                  <a:pt x="992969" y="201456"/>
                  <a:pt x="960834" y="214709"/>
                  <a:pt x="944563" y="198438"/>
                </a:cubicBezTo>
                <a:cubicBezTo>
                  <a:pt x="916670" y="170545"/>
                  <a:pt x="930426" y="154074"/>
                  <a:pt x="896938" y="134938"/>
                </a:cubicBezTo>
                <a:cubicBezTo>
                  <a:pt x="887466" y="129526"/>
                  <a:pt x="875771" y="129646"/>
                  <a:pt x="865188" y="127000"/>
                </a:cubicBezTo>
                <a:cubicBezTo>
                  <a:pt x="775233" y="59535"/>
                  <a:pt x="888864" y="141799"/>
                  <a:pt x="801688" y="87313"/>
                </a:cubicBezTo>
                <a:cubicBezTo>
                  <a:pt x="790470" y="80301"/>
                  <a:pt x="782027" y="68873"/>
                  <a:pt x="769938" y="63500"/>
                </a:cubicBezTo>
                <a:cubicBezTo>
                  <a:pt x="757609" y="58021"/>
                  <a:pt x="743479" y="58209"/>
                  <a:pt x="730250" y="55563"/>
                </a:cubicBezTo>
                <a:cubicBezTo>
                  <a:pt x="706438" y="60855"/>
                  <a:pt x="682347" y="77856"/>
                  <a:pt x="658813" y="71438"/>
                </a:cubicBezTo>
                <a:cubicBezTo>
                  <a:pt x="645067" y="67689"/>
                  <a:pt x="647941" y="45091"/>
                  <a:pt x="642938" y="31750"/>
                </a:cubicBezTo>
                <a:cubicBezTo>
                  <a:pt x="630843" y="-503"/>
                  <a:pt x="644448" y="11088"/>
                  <a:pt x="611188" y="0"/>
                </a:cubicBezTo>
                <a:cubicBezTo>
                  <a:pt x="542396" y="2646"/>
                  <a:pt x="473314" y="1088"/>
                  <a:pt x="404813" y="7938"/>
                </a:cubicBezTo>
                <a:cubicBezTo>
                  <a:pt x="393039" y="9115"/>
                  <a:pt x="384142" y="19658"/>
                  <a:pt x="373063" y="23813"/>
                </a:cubicBezTo>
                <a:cubicBezTo>
                  <a:pt x="348645" y="32970"/>
                  <a:pt x="326756" y="32148"/>
                  <a:pt x="301625" y="39688"/>
                </a:cubicBezTo>
                <a:cubicBezTo>
                  <a:pt x="206028" y="68368"/>
                  <a:pt x="322266" y="45509"/>
                  <a:pt x="214313" y="63500"/>
                </a:cubicBezTo>
                <a:cubicBezTo>
                  <a:pt x="187855" y="58208"/>
                  <a:pt x="160727" y="55560"/>
                  <a:pt x="134938" y="47625"/>
                </a:cubicBezTo>
                <a:cubicBezTo>
                  <a:pt x="125820" y="44819"/>
                  <a:pt x="119658" y="36016"/>
                  <a:pt x="111125" y="31750"/>
                </a:cubicBezTo>
                <a:cubicBezTo>
                  <a:pt x="98381" y="25378"/>
                  <a:pt x="85138" y="19789"/>
                  <a:pt x="71438" y="15875"/>
                </a:cubicBezTo>
                <a:cubicBezTo>
                  <a:pt x="47983" y="9174"/>
                  <a:pt x="23813" y="5292"/>
                  <a:pt x="0" y="0"/>
                </a:cubicBezTo>
              </a:path>
            </a:pathLst>
          </a:custGeom>
          <a:noFill/>
          <a:ln>
            <a:solidFill>
              <a:srgbClr val="223B68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20" name="Forma libre: forma 19">
            <a:extLst>
              <a:ext uri="{FF2B5EF4-FFF2-40B4-BE49-F238E27FC236}">
                <a16:creationId xmlns:a16="http://schemas.microsoft.com/office/drawing/2014/main" id="{6EA3E93C-1A16-5F72-D452-14B2BFF71C32}"/>
              </a:ext>
            </a:extLst>
          </xdr:cNvPr>
          <xdr:cNvSpPr/>
        </xdr:nvSpPr>
        <xdr:spPr>
          <a:xfrm>
            <a:off x="14707528" y="4621160"/>
            <a:ext cx="1580222" cy="831903"/>
          </a:xfrm>
          <a:custGeom>
            <a:avLst/>
            <a:gdLst>
              <a:gd name="connsiteX0" fmla="*/ 16535 w 1580222"/>
              <a:gd name="connsiteY0" fmla="*/ 554090 h 831903"/>
              <a:gd name="connsiteX1" fmla="*/ 8597 w 1580222"/>
              <a:gd name="connsiteY1" fmla="*/ 506465 h 831903"/>
              <a:gd name="connsiteX2" fmla="*/ 660 w 1580222"/>
              <a:gd name="connsiteY2" fmla="*/ 474715 h 831903"/>
              <a:gd name="connsiteX3" fmla="*/ 32410 w 1580222"/>
              <a:gd name="connsiteY3" fmla="*/ 427090 h 831903"/>
              <a:gd name="connsiteX4" fmla="*/ 24472 w 1580222"/>
              <a:gd name="connsiteY4" fmla="*/ 284215 h 831903"/>
              <a:gd name="connsiteX5" fmla="*/ 56222 w 1580222"/>
              <a:gd name="connsiteY5" fmla="*/ 220715 h 831903"/>
              <a:gd name="connsiteX6" fmla="*/ 95910 w 1580222"/>
              <a:gd name="connsiteY6" fmla="*/ 212778 h 831903"/>
              <a:gd name="connsiteX7" fmla="*/ 207035 w 1580222"/>
              <a:gd name="connsiteY7" fmla="*/ 188965 h 831903"/>
              <a:gd name="connsiteX8" fmla="*/ 254660 w 1580222"/>
              <a:gd name="connsiteY8" fmla="*/ 157215 h 831903"/>
              <a:gd name="connsiteX9" fmla="*/ 294347 w 1580222"/>
              <a:gd name="connsiteY9" fmla="*/ 133403 h 831903"/>
              <a:gd name="connsiteX10" fmla="*/ 365785 w 1580222"/>
              <a:gd name="connsiteY10" fmla="*/ 109590 h 831903"/>
              <a:gd name="connsiteX11" fmla="*/ 389597 w 1580222"/>
              <a:gd name="connsiteY11" fmla="*/ 93715 h 831903"/>
              <a:gd name="connsiteX12" fmla="*/ 445160 w 1580222"/>
              <a:gd name="connsiteY12" fmla="*/ 101653 h 831903"/>
              <a:gd name="connsiteX13" fmla="*/ 492785 w 1580222"/>
              <a:gd name="connsiteY13" fmla="*/ 117528 h 831903"/>
              <a:gd name="connsiteX14" fmla="*/ 524535 w 1580222"/>
              <a:gd name="connsiteY14" fmla="*/ 125465 h 831903"/>
              <a:gd name="connsiteX15" fmla="*/ 556285 w 1580222"/>
              <a:gd name="connsiteY15" fmla="*/ 141340 h 831903"/>
              <a:gd name="connsiteX16" fmla="*/ 746785 w 1580222"/>
              <a:gd name="connsiteY16" fmla="*/ 125465 h 831903"/>
              <a:gd name="connsiteX17" fmla="*/ 873785 w 1580222"/>
              <a:gd name="connsiteY17" fmla="*/ 93715 h 831903"/>
              <a:gd name="connsiteX18" fmla="*/ 905535 w 1580222"/>
              <a:gd name="connsiteY18" fmla="*/ 77840 h 831903"/>
              <a:gd name="connsiteX19" fmla="*/ 1103972 w 1580222"/>
              <a:gd name="connsiteY19" fmla="*/ 54028 h 831903"/>
              <a:gd name="connsiteX20" fmla="*/ 1230972 w 1580222"/>
              <a:gd name="connsiteY20" fmla="*/ 30215 h 831903"/>
              <a:gd name="connsiteX21" fmla="*/ 1254785 w 1580222"/>
              <a:gd name="connsiteY21" fmla="*/ 38153 h 831903"/>
              <a:gd name="connsiteX22" fmla="*/ 1286535 w 1580222"/>
              <a:gd name="connsiteY22" fmla="*/ 69903 h 831903"/>
              <a:gd name="connsiteX23" fmla="*/ 1294472 w 1580222"/>
              <a:gd name="connsiteY23" fmla="*/ 117528 h 831903"/>
              <a:gd name="connsiteX24" fmla="*/ 1302410 w 1580222"/>
              <a:gd name="connsiteY24" fmla="*/ 141340 h 831903"/>
              <a:gd name="connsiteX25" fmla="*/ 1310347 w 1580222"/>
              <a:gd name="connsiteY25" fmla="*/ 173090 h 831903"/>
              <a:gd name="connsiteX26" fmla="*/ 1334160 w 1580222"/>
              <a:gd name="connsiteY26" fmla="*/ 188965 h 831903"/>
              <a:gd name="connsiteX27" fmla="*/ 1389722 w 1580222"/>
              <a:gd name="connsiteY27" fmla="*/ 244528 h 831903"/>
              <a:gd name="connsiteX28" fmla="*/ 1437347 w 1580222"/>
              <a:gd name="connsiteY28" fmla="*/ 308028 h 831903"/>
              <a:gd name="connsiteX29" fmla="*/ 1469097 w 1580222"/>
              <a:gd name="connsiteY29" fmla="*/ 347715 h 831903"/>
              <a:gd name="connsiteX30" fmla="*/ 1477035 w 1580222"/>
              <a:gd name="connsiteY30" fmla="*/ 371528 h 831903"/>
              <a:gd name="connsiteX31" fmla="*/ 1500847 w 1580222"/>
              <a:gd name="connsiteY31" fmla="*/ 411215 h 831903"/>
              <a:gd name="connsiteX32" fmla="*/ 1548472 w 1580222"/>
              <a:gd name="connsiteY32" fmla="*/ 474715 h 831903"/>
              <a:gd name="connsiteX33" fmla="*/ 1556410 w 1580222"/>
              <a:gd name="connsiteY33" fmla="*/ 506465 h 831903"/>
              <a:gd name="connsiteX34" fmla="*/ 1564347 w 1580222"/>
              <a:gd name="connsiteY34" fmla="*/ 530278 h 831903"/>
              <a:gd name="connsiteX35" fmla="*/ 1580222 w 1580222"/>
              <a:gd name="connsiteY35" fmla="*/ 831903 h 83190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</a:cxnLst>
            <a:rect l="l" t="t" r="r" b="b"/>
            <a:pathLst>
              <a:path w="1580222" h="831903">
                <a:moveTo>
                  <a:pt x="16535" y="554090"/>
                </a:moveTo>
                <a:cubicBezTo>
                  <a:pt x="13889" y="538215"/>
                  <a:pt x="11753" y="522246"/>
                  <a:pt x="8597" y="506465"/>
                </a:cubicBezTo>
                <a:cubicBezTo>
                  <a:pt x="6458" y="495768"/>
                  <a:pt x="-2475" y="485164"/>
                  <a:pt x="660" y="474715"/>
                </a:cubicBezTo>
                <a:cubicBezTo>
                  <a:pt x="6143" y="456440"/>
                  <a:pt x="21827" y="442965"/>
                  <a:pt x="32410" y="427090"/>
                </a:cubicBezTo>
                <a:cubicBezTo>
                  <a:pt x="-6688" y="361928"/>
                  <a:pt x="342" y="392802"/>
                  <a:pt x="24472" y="284215"/>
                </a:cubicBezTo>
                <a:cubicBezTo>
                  <a:pt x="25610" y="279095"/>
                  <a:pt x="44683" y="227309"/>
                  <a:pt x="56222" y="220715"/>
                </a:cubicBezTo>
                <a:cubicBezTo>
                  <a:pt x="67936" y="214021"/>
                  <a:pt x="82681" y="215424"/>
                  <a:pt x="95910" y="212778"/>
                </a:cubicBezTo>
                <a:cubicBezTo>
                  <a:pt x="197412" y="162027"/>
                  <a:pt x="12583" y="249732"/>
                  <a:pt x="207035" y="188965"/>
                </a:cubicBezTo>
                <a:cubicBezTo>
                  <a:pt x="225246" y="183274"/>
                  <a:pt x="238563" y="167458"/>
                  <a:pt x="254660" y="157215"/>
                </a:cubicBezTo>
                <a:cubicBezTo>
                  <a:pt x="267676" y="148932"/>
                  <a:pt x="280548" y="140302"/>
                  <a:pt x="294347" y="133403"/>
                </a:cubicBezTo>
                <a:cubicBezTo>
                  <a:pt x="324236" y="118459"/>
                  <a:pt x="335470" y="117169"/>
                  <a:pt x="365785" y="109590"/>
                </a:cubicBezTo>
                <a:cubicBezTo>
                  <a:pt x="373722" y="104298"/>
                  <a:pt x="380105" y="94664"/>
                  <a:pt x="389597" y="93715"/>
                </a:cubicBezTo>
                <a:cubicBezTo>
                  <a:pt x="408213" y="91853"/>
                  <a:pt x="426930" y="97446"/>
                  <a:pt x="445160" y="101653"/>
                </a:cubicBezTo>
                <a:cubicBezTo>
                  <a:pt x="461465" y="105416"/>
                  <a:pt x="476551" y="113470"/>
                  <a:pt x="492785" y="117528"/>
                </a:cubicBezTo>
                <a:lnTo>
                  <a:pt x="524535" y="125465"/>
                </a:lnTo>
                <a:cubicBezTo>
                  <a:pt x="535118" y="130757"/>
                  <a:pt x="544471" y="140684"/>
                  <a:pt x="556285" y="141340"/>
                </a:cubicBezTo>
                <a:cubicBezTo>
                  <a:pt x="581575" y="142745"/>
                  <a:pt x="710909" y="129053"/>
                  <a:pt x="746785" y="125465"/>
                </a:cubicBezTo>
                <a:cubicBezTo>
                  <a:pt x="844995" y="86180"/>
                  <a:pt x="707973" y="137931"/>
                  <a:pt x="873785" y="93715"/>
                </a:cubicBezTo>
                <a:cubicBezTo>
                  <a:pt x="885218" y="90666"/>
                  <a:pt x="893875" y="79850"/>
                  <a:pt x="905535" y="77840"/>
                </a:cubicBezTo>
                <a:cubicBezTo>
                  <a:pt x="971187" y="66521"/>
                  <a:pt x="1037826" y="61965"/>
                  <a:pt x="1103972" y="54028"/>
                </a:cubicBezTo>
                <a:cubicBezTo>
                  <a:pt x="1131461" y="-28438"/>
                  <a:pt x="1104313" y="413"/>
                  <a:pt x="1230972" y="30215"/>
                </a:cubicBezTo>
                <a:cubicBezTo>
                  <a:pt x="1239117" y="32131"/>
                  <a:pt x="1246847" y="35507"/>
                  <a:pt x="1254785" y="38153"/>
                </a:cubicBezTo>
                <a:cubicBezTo>
                  <a:pt x="1265368" y="48736"/>
                  <a:pt x="1279842" y="56516"/>
                  <a:pt x="1286535" y="69903"/>
                </a:cubicBezTo>
                <a:cubicBezTo>
                  <a:pt x="1293732" y="84298"/>
                  <a:pt x="1290981" y="101817"/>
                  <a:pt x="1294472" y="117528"/>
                </a:cubicBezTo>
                <a:cubicBezTo>
                  <a:pt x="1296287" y="125696"/>
                  <a:pt x="1300111" y="133295"/>
                  <a:pt x="1302410" y="141340"/>
                </a:cubicBezTo>
                <a:cubicBezTo>
                  <a:pt x="1305407" y="151829"/>
                  <a:pt x="1304296" y="164013"/>
                  <a:pt x="1310347" y="173090"/>
                </a:cubicBezTo>
                <a:cubicBezTo>
                  <a:pt x="1315639" y="181028"/>
                  <a:pt x="1327069" y="182583"/>
                  <a:pt x="1334160" y="188965"/>
                </a:cubicBezTo>
                <a:cubicBezTo>
                  <a:pt x="1353629" y="206487"/>
                  <a:pt x="1376246" y="222068"/>
                  <a:pt x="1389722" y="244528"/>
                </a:cubicBezTo>
                <a:cubicBezTo>
                  <a:pt x="1419311" y="293841"/>
                  <a:pt x="1402626" y="273306"/>
                  <a:pt x="1437347" y="308028"/>
                </a:cubicBezTo>
                <a:cubicBezTo>
                  <a:pt x="1457300" y="367882"/>
                  <a:pt x="1428064" y="296423"/>
                  <a:pt x="1469097" y="347715"/>
                </a:cubicBezTo>
                <a:cubicBezTo>
                  <a:pt x="1474324" y="354249"/>
                  <a:pt x="1473293" y="364044"/>
                  <a:pt x="1477035" y="371528"/>
                </a:cubicBezTo>
                <a:cubicBezTo>
                  <a:pt x="1483934" y="385327"/>
                  <a:pt x="1492066" y="398531"/>
                  <a:pt x="1500847" y="411215"/>
                </a:cubicBezTo>
                <a:cubicBezTo>
                  <a:pt x="1515907" y="432969"/>
                  <a:pt x="1548472" y="474715"/>
                  <a:pt x="1548472" y="474715"/>
                </a:cubicBezTo>
                <a:cubicBezTo>
                  <a:pt x="1551118" y="485298"/>
                  <a:pt x="1553413" y="495976"/>
                  <a:pt x="1556410" y="506465"/>
                </a:cubicBezTo>
                <a:cubicBezTo>
                  <a:pt x="1558709" y="514510"/>
                  <a:pt x="1562706" y="522074"/>
                  <a:pt x="1564347" y="530278"/>
                </a:cubicBezTo>
                <a:cubicBezTo>
                  <a:pt x="1582388" y="620485"/>
                  <a:pt x="1578274" y="771518"/>
                  <a:pt x="1580222" y="831903"/>
                </a:cubicBezTo>
              </a:path>
            </a:pathLst>
          </a:custGeom>
          <a:noFill/>
          <a:ln>
            <a:solidFill>
              <a:srgbClr val="223B68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C42085B6-48B5-A26F-954C-2808B468C49C}"/>
              </a:ext>
            </a:extLst>
          </xdr:cNvPr>
          <xdr:cNvSpPr/>
        </xdr:nvSpPr>
        <xdr:spPr>
          <a:xfrm>
            <a:off x="15830766" y="5357813"/>
            <a:ext cx="774484" cy="127000"/>
          </a:xfrm>
          <a:custGeom>
            <a:avLst/>
            <a:gdLst>
              <a:gd name="connsiteX0" fmla="*/ 774484 w 774484"/>
              <a:gd name="connsiteY0" fmla="*/ 119062 h 127000"/>
              <a:gd name="connsiteX1" fmla="*/ 671297 w 774484"/>
              <a:gd name="connsiteY1" fmla="*/ 111125 h 127000"/>
              <a:gd name="connsiteX2" fmla="*/ 639547 w 774484"/>
              <a:gd name="connsiteY2" fmla="*/ 103187 h 127000"/>
              <a:gd name="connsiteX3" fmla="*/ 591922 w 774484"/>
              <a:gd name="connsiteY3" fmla="*/ 95250 h 127000"/>
              <a:gd name="connsiteX4" fmla="*/ 528422 w 774484"/>
              <a:gd name="connsiteY4" fmla="*/ 103187 h 127000"/>
              <a:gd name="connsiteX5" fmla="*/ 472859 w 774484"/>
              <a:gd name="connsiteY5" fmla="*/ 127000 h 127000"/>
              <a:gd name="connsiteX6" fmla="*/ 449047 w 774484"/>
              <a:gd name="connsiteY6" fmla="*/ 103187 h 127000"/>
              <a:gd name="connsiteX7" fmla="*/ 409359 w 774484"/>
              <a:gd name="connsiteY7" fmla="*/ 95250 h 127000"/>
              <a:gd name="connsiteX8" fmla="*/ 377609 w 774484"/>
              <a:gd name="connsiteY8" fmla="*/ 87312 h 127000"/>
              <a:gd name="connsiteX9" fmla="*/ 314109 w 774484"/>
              <a:gd name="connsiteY9" fmla="*/ 39687 h 127000"/>
              <a:gd name="connsiteX10" fmla="*/ 258547 w 774484"/>
              <a:gd name="connsiteY10" fmla="*/ 15875 h 127000"/>
              <a:gd name="connsiteX11" fmla="*/ 226797 w 774484"/>
              <a:gd name="connsiteY11" fmla="*/ 7937 h 127000"/>
              <a:gd name="connsiteX12" fmla="*/ 202984 w 774484"/>
              <a:gd name="connsiteY12" fmla="*/ 0 h 127000"/>
              <a:gd name="connsiteX13" fmla="*/ 60109 w 774484"/>
              <a:gd name="connsiteY13" fmla="*/ 7937 h 127000"/>
              <a:gd name="connsiteX14" fmla="*/ 36297 w 774484"/>
              <a:gd name="connsiteY14" fmla="*/ 15875 h 127000"/>
              <a:gd name="connsiteX15" fmla="*/ 12484 w 774484"/>
              <a:gd name="connsiteY15" fmla="*/ 71437 h 12700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</a:cxnLst>
            <a:rect l="l" t="t" r="r" b="b"/>
            <a:pathLst>
              <a:path w="774484" h="127000">
                <a:moveTo>
                  <a:pt x="774484" y="119062"/>
                </a:moveTo>
                <a:cubicBezTo>
                  <a:pt x="740088" y="116416"/>
                  <a:pt x="705558" y="115156"/>
                  <a:pt x="671297" y="111125"/>
                </a:cubicBezTo>
                <a:cubicBezTo>
                  <a:pt x="660463" y="109850"/>
                  <a:pt x="650244" y="105326"/>
                  <a:pt x="639547" y="103187"/>
                </a:cubicBezTo>
                <a:cubicBezTo>
                  <a:pt x="623766" y="100031"/>
                  <a:pt x="607797" y="97896"/>
                  <a:pt x="591922" y="95250"/>
                </a:cubicBezTo>
                <a:cubicBezTo>
                  <a:pt x="570755" y="97896"/>
                  <a:pt x="549409" y="99371"/>
                  <a:pt x="528422" y="103187"/>
                </a:cubicBezTo>
                <a:cubicBezTo>
                  <a:pt x="510070" y="106524"/>
                  <a:pt x="488495" y="119182"/>
                  <a:pt x="472859" y="127000"/>
                </a:cubicBezTo>
                <a:cubicBezTo>
                  <a:pt x="464922" y="119062"/>
                  <a:pt x="459087" y="108207"/>
                  <a:pt x="449047" y="103187"/>
                </a:cubicBezTo>
                <a:cubicBezTo>
                  <a:pt x="436980" y="97154"/>
                  <a:pt x="422529" y="98177"/>
                  <a:pt x="409359" y="95250"/>
                </a:cubicBezTo>
                <a:cubicBezTo>
                  <a:pt x="398710" y="92884"/>
                  <a:pt x="388192" y="89958"/>
                  <a:pt x="377609" y="87312"/>
                </a:cubicBezTo>
                <a:cubicBezTo>
                  <a:pt x="356442" y="71437"/>
                  <a:pt x="338428" y="50109"/>
                  <a:pt x="314109" y="39687"/>
                </a:cubicBezTo>
                <a:cubicBezTo>
                  <a:pt x="295588" y="31750"/>
                  <a:pt x="277484" y="22761"/>
                  <a:pt x="258547" y="15875"/>
                </a:cubicBezTo>
                <a:cubicBezTo>
                  <a:pt x="248295" y="12147"/>
                  <a:pt x="237286" y="10934"/>
                  <a:pt x="226797" y="7937"/>
                </a:cubicBezTo>
                <a:cubicBezTo>
                  <a:pt x="218752" y="5638"/>
                  <a:pt x="210922" y="2646"/>
                  <a:pt x="202984" y="0"/>
                </a:cubicBezTo>
                <a:cubicBezTo>
                  <a:pt x="155359" y="2646"/>
                  <a:pt x="107593" y="3415"/>
                  <a:pt x="60109" y="7937"/>
                </a:cubicBezTo>
                <a:cubicBezTo>
                  <a:pt x="51780" y="8730"/>
                  <a:pt x="41160" y="9067"/>
                  <a:pt x="36297" y="15875"/>
                </a:cubicBezTo>
                <a:cubicBezTo>
                  <a:pt x="-48966" y="135246"/>
                  <a:pt x="47506" y="36419"/>
                  <a:pt x="12484" y="71437"/>
                </a:cubicBezTo>
              </a:path>
            </a:pathLst>
          </a:custGeom>
          <a:noFill/>
          <a:ln>
            <a:solidFill>
              <a:srgbClr val="223B68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63A305A0-33ED-CC27-3E9D-F92872A1B069}"/>
              </a:ext>
            </a:extLst>
          </xdr:cNvPr>
          <xdr:cNvSpPr/>
        </xdr:nvSpPr>
        <xdr:spPr>
          <a:xfrm>
            <a:off x="15525750" y="5984875"/>
            <a:ext cx="2278063" cy="505630"/>
          </a:xfrm>
          <a:custGeom>
            <a:avLst/>
            <a:gdLst>
              <a:gd name="connsiteX0" fmla="*/ 2278063 w 2278063"/>
              <a:gd name="connsiteY0" fmla="*/ 0 h 505630"/>
              <a:gd name="connsiteX1" fmla="*/ 2238375 w 2278063"/>
              <a:gd name="connsiteY1" fmla="*/ 15875 h 505630"/>
              <a:gd name="connsiteX2" fmla="*/ 2159000 w 2278063"/>
              <a:gd name="connsiteY2" fmla="*/ 23813 h 505630"/>
              <a:gd name="connsiteX3" fmla="*/ 2119313 w 2278063"/>
              <a:gd name="connsiteY3" fmla="*/ 31750 h 505630"/>
              <a:gd name="connsiteX4" fmla="*/ 2071688 w 2278063"/>
              <a:gd name="connsiteY4" fmla="*/ 55563 h 505630"/>
              <a:gd name="connsiteX5" fmla="*/ 2047875 w 2278063"/>
              <a:gd name="connsiteY5" fmla="*/ 71438 h 505630"/>
              <a:gd name="connsiteX6" fmla="*/ 1992313 w 2278063"/>
              <a:gd name="connsiteY6" fmla="*/ 111125 h 505630"/>
              <a:gd name="connsiteX7" fmla="*/ 1928813 w 2278063"/>
              <a:gd name="connsiteY7" fmla="*/ 103188 h 505630"/>
              <a:gd name="connsiteX8" fmla="*/ 1905000 w 2278063"/>
              <a:gd name="connsiteY8" fmla="*/ 87313 h 505630"/>
              <a:gd name="connsiteX9" fmla="*/ 1881188 w 2278063"/>
              <a:gd name="connsiteY9" fmla="*/ 79375 h 505630"/>
              <a:gd name="connsiteX10" fmla="*/ 1841500 w 2278063"/>
              <a:gd name="connsiteY10" fmla="*/ 87313 h 505630"/>
              <a:gd name="connsiteX11" fmla="*/ 1817688 w 2278063"/>
              <a:gd name="connsiteY11" fmla="*/ 95250 h 505630"/>
              <a:gd name="connsiteX12" fmla="*/ 1746250 w 2278063"/>
              <a:gd name="connsiteY12" fmla="*/ 111125 h 505630"/>
              <a:gd name="connsiteX13" fmla="*/ 1714500 w 2278063"/>
              <a:gd name="connsiteY13" fmla="*/ 134938 h 505630"/>
              <a:gd name="connsiteX14" fmla="*/ 1682750 w 2278063"/>
              <a:gd name="connsiteY14" fmla="*/ 142875 h 505630"/>
              <a:gd name="connsiteX15" fmla="*/ 1643063 w 2278063"/>
              <a:gd name="connsiteY15" fmla="*/ 158750 h 505630"/>
              <a:gd name="connsiteX16" fmla="*/ 1349375 w 2278063"/>
              <a:gd name="connsiteY16" fmla="*/ 158750 h 505630"/>
              <a:gd name="connsiteX17" fmla="*/ 1293813 w 2278063"/>
              <a:gd name="connsiteY17" fmla="*/ 190500 h 505630"/>
              <a:gd name="connsiteX18" fmla="*/ 1270000 w 2278063"/>
              <a:gd name="connsiteY18" fmla="*/ 198438 h 505630"/>
              <a:gd name="connsiteX19" fmla="*/ 1198563 w 2278063"/>
              <a:gd name="connsiteY19" fmla="*/ 222250 h 505630"/>
              <a:gd name="connsiteX20" fmla="*/ 1158875 w 2278063"/>
              <a:gd name="connsiteY20" fmla="*/ 238125 h 505630"/>
              <a:gd name="connsiteX21" fmla="*/ 1127125 w 2278063"/>
              <a:gd name="connsiteY21" fmla="*/ 246063 h 505630"/>
              <a:gd name="connsiteX22" fmla="*/ 1103313 w 2278063"/>
              <a:gd name="connsiteY22" fmla="*/ 261938 h 505630"/>
              <a:gd name="connsiteX23" fmla="*/ 984250 w 2278063"/>
              <a:gd name="connsiteY23" fmla="*/ 269875 h 505630"/>
              <a:gd name="connsiteX24" fmla="*/ 944563 w 2278063"/>
              <a:gd name="connsiteY24" fmla="*/ 309563 h 505630"/>
              <a:gd name="connsiteX25" fmla="*/ 920750 w 2278063"/>
              <a:gd name="connsiteY25" fmla="*/ 317500 h 505630"/>
              <a:gd name="connsiteX26" fmla="*/ 912813 w 2278063"/>
              <a:gd name="connsiteY26" fmla="*/ 341313 h 505630"/>
              <a:gd name="connsiteX27" fmla="*/ 889000 w 2278063"/>
              <a:gd name="connsiteY27" fmla="*/ 365125 h 505630"/>
              <a:gd name="connsiteX28" fmla="*/ 849313 w 2278063"/>
              <a:gd name="connsiteY28" fmla="*/ 412750 h 505630"/>
              <a:gd name="connsiteX29" fmla="*/ 706438 w 2278063"/>
              <a:gd name="connsiteY29" fmla="*/ 420688 h 505630"/>
              <a:gd name="connsiteX30" fmla="*/ 650875 w 2278063"/>
              <a:gd name="connsiteY30" fmla="*/ 452438 h 505630"/>
              <a:gd name="connsiteX31" fmla="*/ 563563 w 2278063"/>
              <a:gd name="connsiteY31" fmla="*/ 460375 h 505630"/>
              <a:gd name="connsiteX32" fmla="*/ 460375 w 2278063"/>
              <a:gd name="connsiteY32" fmla="*/ 500063 h 505630"/>
              <a:gd name="connsiteX33" fmla="*/ 357188 w 2278063"/>
              <a:gd name="connsiteY33" fmla="*/ 484188 h 505630"/>
              <a:gd name="connsiteX34" fmla="*/ 238125 w 2278063"/>
              <a:gd name="connsiteY34" fmla="*/ 468313 h 505630"/>
              <a:gd name="connsiteX35" fmla="*/ 222250 w 2278063"/>
              <a:gd name="connsiteY35" fmla="*/ 444500 h 505630"/>
              <a:gd name="connsiteX36" fmla="*/ 55563 w 2278063"/>
              <a:gd name="connsiteY36" fmla="*/ 428625 h 505630"/>
              <a:gd name="connsiteX37" fmla="*/ 0 w 2278063"/>
              <a:gd name="connsiteY37" fmla="*/ 436563 h 50563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</a:cxnLst>
            <a:rect l="l" t="t" r="r" b="b"/>
            <a:pathLst>
              <a:path w="2278063" h="505630">
                <a:moveTo>
                  <a:pt x="2278063" y="0"/>
                </a:moveTo>
                <a:cubicBezTo>
                  <a:pt x="2264834" y="5292"/>
                  <a:pt x="2252347" y="13081"/>
                  <a:pt x="2238375" y="15875"/>
                </a:cubicBezTo>
                <a:cubicBezTo>
                  <a:pt x="2212301" y="21090"/>
                  <a:pt x="2185357" y="20299"/>
                  <a:pt x="2159000" y="23813"/>
                </a:cubicBezTo>
                <a:cubicBezTo>
                  <a:pt x="2145627" y="25596"/>
                  <a:pt x="2132542" y="29104"/>
                  <a:pt x="2119313" y="31750"/>
                </a:cubicBezTo>
                <a:cubicBezTo>
                  <a:pt x="2051067" y="77246"/>
                  <a:pt x="2137414" y="22699"/>
                  <a:pt x="2071688" y="55563"/>
                </a:cubicBezTo>
                <a:cubicBezTo>
                  <a:pt x="2063155" y="59829"/>
                  <a:pt x="2055638" y="65893"/>
                  <a:pt x="2047875" y="71438"/>
                </a:cubicBezTo>
                <a:cubicBezTo>
                  <a:pt x="1978939" y="120677"/>
                  <a:pt x="2048444" y="73704"/>
                  <a:pt x="1992313" y="111125"/>
                </a:cubicBezTo>
                <a:cubicBezTo>
                  <a:pt x="1971146" y="108479"/>
                  <a:pt x="1949393" y="108801"/>
                  <a:pt x="1928813" y="103188"/>
                </a:cubicBezTo>
                <a:cubicBezTo>
                  <a:pt x="1919609" y="100678"/>
                  <a:pt x="1913533" y="91579"/>
                  <a:pt x="1905000" y="87313"/>
                </a:cubicBezTo>
                <a:cubicBezTo>
                  <a:pt x="1897517" y="83571"/>
                  <a:pt x="1889125" y="82021"/>
                  <a:pt x="1881188" y="79375"/>
                </a:cubicBezTo>
                <a:cubicBezTo>
                  <a:pt x="1867959" y="82021"/>
                  <a:pt x="1854589" y="84041"/>
                  <a:pt x="1841500" y="87313"/>
                </a:cubicBezTo>
                <a:cubicBezTo>
                  <a:pt x="1833383" y="89342"/>
                  <a:pt x="1825855" y="93435"/>
                  <a:pt x="1817688" y="95250"/>
                </a:cubicBezTo>
                <a:cubicBezTo>
                  <a:pt x="1733868" y="113877"/>
                  <a:pt x="1799858" y="93257"/>
                  <a:pt x="1746250" y="111125"/>
                </a:cubicBezTo>
                <a:cubicBezTo>
                  <a:pt x="1735667" y="119063"/>
                  <a:pt x="1726333" y="129022"/>
                  <a:pt x="1714500" y="134938"/>
                </a:cubicBezTo>
                <a:cubicBezTo>
                  <a:pt x="1704743" y="139817"/>
                  <a:pt x="1693099" y="139425"/>
                  <a:pt x="1682750" y="142875"/>
                </a:cubicBezTo>
                <a:cubicBezTo>
                  <a:pt x="1669233" y="147381"/>
                  <a:pt x="1656292" y="153458"/>
                  <a:pt x="1643063" y="158750"/>
                </a:cubicBezTo>
                <a:cubicBezTo>
                  <a:pt x="1523253" y="141636"/>
                  <a:pt x="1545180" y="141473"/>
                  <a:pt x="1349375" y="158750"/>
                </a:cubicBezTo>
                <a:cubicBezTo>
                  <a:pt x="1332476" y="160241"/>
                  <a:pt x="1308618" y="183097"/>
                  <a:pt x="1293813" y="190500"/>
                </a:cubicBezTo>
                <a:cubicBezTo>
                  <a:pt x="1286329" y="194242"/>
                  <a:pt x="1277691" y="195142"/>
                  <a:pt x="1270000" y="198438"/>
                </a:cubicBezTo>
                <a:cubicBezTo>
                  <a:pt x="1212493" y="223084"/>
                  <a:pt x="1265462" y="208871"/>
                  <a:pt x="1198563" y="222250"/>
                </a:cubicBezTo>
                <a:cubicBezTo>
                  <a:pt x="1185334" y="227542"/>
                  <a:pt x="1172392" y="233619"/>
                  <a:pt x="1158875" y="238125"/>
                </a:cubicBezTo>
                <a:cubicBezTo>
                  <a:pt x="1148526" y="241575"/>
                  <a:pt x="1137152" y="241766"/>
                  <a:pt x="1127125" y="246063"/>
                </a:cubicBezTo>
                <a:cubicBezTo>
                  <a:pt x="1118357" y="249821"/>
                  <a:pt x="1112723" y="260370"/>
                  <a:pt x="1103313" y="261938"/>
                </a:cubicBezTo>
                <a:cubicBezTo>
                  <a:pt x="1064078" y="268477"/>
                  <a:pt x="1023938" y="267229"/>
                  <a:pt x="984250" y="269875"/>
                </a:cubicBezTo>
                <a:cubicBezTo>
                  <a:pt x="971021" y="283104"/>
                  <a:pt x="959530" y="298338"/>
                  <a:pt x="944563" y="309563"/>
                </a:cubicBezTo>
                <a:cubicBezTo>
                  <a:pt x="937869" y="314583"/>
                  <a:pt x="926666" y="311584"/>
                  <a:pt x="920750" y="317500"/>
                </a:cubicBezTo>
                <a:cubicBezTo>
                  <a:pt x="914834" y="323416"/>
                  <a:pt x="917454" y="334351"/>
                  <a:pt x="912813" y="341313"/>
                </a:cubicBezTo>
                <a:cubicBezTo>
                  <a:pt x="906586" y="350653"/>
                  <a:pt x="896186" y="356502"/>
                  <a:pt x="889000" y="365125"/>
                </a:cubicBezTo>
                <a:cubicBezTo>
                  <a:pt x="881155" y="374539"/>
                  <a:pt x="863096" y="410125"/>
                  <a:pt x="849313" y="412750"/>
                </a:cubicBezTo>
                <a:cubicBezTo>
                  <a:pt x="802457" y="421675"/>
                  <a:pt x="754063" y="418042"/>
                  <a:pt x="706438" y="420688"/>
                </a:cubicBezTo>
                <a:cubicBezTo>
                  <a:pt x="693659" y="429207"/>
                  <a:pt x="665261" y="449561"/>
                  <a:pt x="650875" y="452438"/>
                </a:cubicBezTo>
                <a:cubicBezTo>
                  <a:pt x="622218" y="458169"/>
                  <a:pt x="592667" y="457729"/>
                  <a:pt x="563563" y="460375"/>
                </a:cubicBezTo>
                <a:cubicBezTo>
                  <a:pt x="529167" y="473604"/>
                  <a:pt x="496682" y="493749"/>
                  <a:pt x="460375" y="500063"/>
                </a:cubicBezTo>
                <a:cubicBezTo>
                  <a:pt x="366948" y="516311"/>
                  <a:pt x="408028" y="492661"/>
                  <a:pt x="357188" y="484188"/>
                </a:cubicBezTo>
                <a:cubicBezTo>
                  <a:pt x="317694" y="477606"/>
                  <a:pt x="277813" y="473605"/>
                  <a:pt x="238125" y="468313"/>
                </a:cubicBezTo>
                <a:cubicBezTo>
                  <a:pt x="232833" y="460375"/>
                  <a:pt x="228357" y="451829"/>
                  <a:pt x="222250" y="444500"/>
                </a:cubicBezTo>
                <a:cubicBezTo>
                  <a:pt x="173876" y="386451"/>
                  <a:pt x="170696" y="422229"/>
                  <a:pt x="55563" y="428625"/>
                </a:cubicBezTo>
                <a:cubicBezTo>
                  <a:pt x="16112" y="438488"/>
                  <a:pt x="34722" y="436563"/>
                  <a:pt x="0" y="436563"/>
                </a:cubicBezTo>
              </a:path>
            </a:pathLst>
          </a:custGeom>
          <a:noFill/>
          <a:ln>
            <a:solidFill>
              <a:srgbClr val="223B68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810721F5-81B3-F686-E942-CE8B11914B92}"/>
              </a:ext>
            </a:extLst>
          </xdr:cNvPr>
          <xdr:cNvSpPr/>
        </xdr:nvSpPr>
        <xdr:spPr>
          <a:xfrm>
            <a:off x="18780125" y="7024688"/>
            <a:ext cx="24457" cy="79375"/>
          </a:xfrm>
          <a:custGeom>
            <a:avLst/>
            <a:gdLst>
              <a:gd name="connsiteX0" fmla="*/ 0 w 24457"/>
              <a:gd name="connsiteY0" fmla="*/ 0 h 79375"/>
              <a:gd name="connsiteX1" fmla="*/ 23813 w 24457"/>
              <a:gd name="connsiteY1" fmla="*/ 79375 h 7937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</a:cxnLst>
            <a:rect l="l" t="t" r="r" b="b"/>
            <a:pathLst>
              <a:path w="24457" h="79375">
                <a:moveTo>
                  <a:pt x="0" y="0"/>
                </a:moveTo>
                <a:cubicBezTo>
                  <a:pt x="30620" y="51031"/>
                  <a:pt x="23813" y="24259"/>
                  <a:pt x="23813" y="79375"/>
                </a:cubicBezTo>
              </a:path>
            </a:pathLst>
          </a:custGeom>
          <a:noFill/>
          <a:ln>
            <a:solidFill>
              <a:srgbClr val="223B68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L" sz="1000"/>
          </a:p>
        </xdr:txBody>
      </xdr:sp>
    </xdr:grpSp>
    <xdr:clientData/>
  </xdr:twoCellAnchor>
  <xdr:oneCellAnchor>
    <xdr:from>
      <xdr:col>17</xdr:col>
      <xdr:colOff>369093</xdr:colOff>
      <xdr:row>13</xdr:row>
      <xdr:rowOff>95249</xdr:rowOff>
    </xdr:from>
    <xdr:ext cx="1797844" cy="204108"/>
    <xdr:pic>
      <xdr:nvPicPr>
        <xdr:cNvPr id="24" name="Imagen 23">
          <a:extLst>
            <a:ext uri="{FF2B5EF4-FFF2-40B4-BE49-F238E27FC236}">
              <a16:creationId xmlns:a16="http://schemas.microsoft.com/office/drawing/2014/main" id="{7B0DDA3C-354D-4048-89E2-235E16D21932}"/>
            </a:ext>
          </a:extLst>
        </xdr:cNvPr>
        <xdr:cNvPicPr/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2043" t="45873" r="27344" b="51753"/>
        <a:stretch/>
      </xdr:blipFill>
      <xdr:spPr bwMode="auto">
        <a:xfrm>
          <a:off x="12580143" y="2371724"/>
          <a:ext cx="1797844" cy="204108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18</xdr:col>
      <xdr:colOff>607221</xdr:colOff>
      <xdr:row>54</xdr:row>
      <xdr:rowOff>139475</xdr:rowOff>
    </xdr:from>
    <xdr:ext cx="1988344" cy="261938"/>
    <xdr:pic>
      <xdr:nvPicPr>
        <xdr:cNvPr id="25" name="Imagen 24">
          <a:extLst>
            <a:ext uri="{FF2B5EF4-FFF2-40B4-BE49-F238E27FC236}">
              <a16:creationId xmlns:a16="http://schemas.microsoft.com/office/drawing/2014/main" id="{309C58CD-0F67-4E2E-9C88-E9088249270F}"/>
            </a:ext>
          </a:extLst>
        </xdr:cNvPr>
        <xdr:cNvPicPr/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1073" t="54072" r="27190" b="42882"/>
        <a:stretch/>
      </xdr:blipFill>
      <xdr:spPr bwMode="auto">
        <a:xfrm>
          <a:off x="13580271" y="9073925"/>
          <a:ext cx="1988344" cy="261938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5</xdr:col>
      <xdr:colOff>273842</xdr:colOff>
      <xdr:row>32</xdr:row>
      <xdr:rowOff>71437</xdr:rowOff>
    </xdr:from>
    <xdr:ext cx="1643063" cy="226219"/>
    <xdr:pic>
      <xdr:nvPicPr>
        <xdr:cNvPr id="26" name="Imagen 25">
          <a:extLst>
            <a:ext uri="{FF2B5EF4-FFF2-40B4-BE49-F238E27FC236}">
              <a16:creationId xmlns:a16="http://schemas.microsoft.com/office/drawing/2014/main" id="{FE42991C-D0C0-4CFB-8CF5-F04D89C1DF6A}"/>
            </a:ext>
          </a:extLst>
        </xdr:cNvPr>
        <xdr:cNvPicPr/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2633" t="63238" r="27667" b="34131"/>
        <a:stretch/>
      </xdr:blipFill>
      <xdr:spPr bwMode="auto">
        <a:xfrm>
          <a:off x="3236117" y="5443537"/>
          <a:ext cx="1643063" cy="2262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21</xdr:col>
      <xdr:colOff>133181</xdr:colOff>
      <xdr:row>0</xdr:row>
      <xdr:rowOff>78752</xdr:rowOff>
    </xdr:from>
    <xdr:to>
      <xdr:col>23</xdr:col>
      <xdr:colOff>666750</xdr:colOff>
      <xdr:row>1</xdr:row>
      <xdr:rowOff>40821</xdr:rowOff>
    </xdr:to>
    <xdr:grpSp>
      <xdr:nvGrpSpPr>
        <xdr:cNvPr id="27" name="Grupo 26">
          <a:extLst>
            <a:ext uri="{FF2B5EF4-FFF2-40B4-BE49-F238E27FC236}">
              <a16:creationId xmlns:a16="http://schemas.microsoft.com/office/drawing/2014/main" id="{7BBF0BC6-1ED7-41E3-A59B-E3CEDEA0549A}"/>
            </a:ext>
          </a:extLst>
        </xdr:cNvPr>
        <xdr:cNvGrpSpPr/>
      </xdr:nvGrpSpPr>
      <xdr:grpSpPr>
        <a:xfrm>
          <a:off x="15387188" y="78752"/>
          <a:ext cx="2256474" cy="298245"/>
          <a:chOff x="7171278" y="2567786"/>
          <a:chExt cx="3039219" cy="138853"/>
        </a:xfrm>
      </xdr:grpSpPr>
      <xdr:sp macro="" textlink="">
        <xdr:nvSpPr>
          <xdr:cNvPr id="28" name="Rectángulo 27">
            <a:extLst>
              <a:ext uri="{FF2B5EF4-FFF2-40B4-BE49-F238E27FC236}">
                <a16:creationId xmlns:a16="http://schemas.microsoft.com/office/drawing/2014/main" id="{F4D06B88-E0FB-FAD5-CAB6-D728345FC7A0}"/>
              </a:ext>
            </a:extLst>
          </xdr:cNvPr>
          <xdr:cNvSpPr/>
        </xdr:nvSpPr>
        <xdr:spPr>
          <a:xfrm>
            <a:off x="7171278" y="2567786"/>
            <a:ext cx="1516324" cy="136800"/>
          </a:xfrm>
          <a:prstGeom prst="rect">
            <a:avLst/>
          </a:prstGeom>
          <a:solidFill>
            <a:srgbClr val="014B8C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CL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CL"/>
          </a:p>
        </xdr:txBody>
      </xdr:sp>
      <xdr:sp macro="" textlink="">
        <xdr:nvSpPr>
          <xdr:cNvPr id="29" name="Rectángulo 28">
            <a:extLst>
              <a:ext uri="{FF2B5EF4-FFF2-40B4-BE49-F238E27FC236}">
                <a16:creationId xmlns:a16="http://schemas.microsoft.com/office/drawing/2014/main" id="{C7AF7B30-9C3C-441C-6C5B-755A59F2EC5F}"/>
              </a:ext>
            </a:extLst>
          </xdr:cNvPr>
          <xdr:cNvSpPr/>
        </xdr:nvSpPr>
        <xdr:spPr>
          <a:xfrm>
            <a:off x="8694173" y="2569839"/>
            <a:ext cx="1516324" cy="136800"/>
          </a:xfrm>
          <a:prstGeom prst="rect">
            <a:avLst/>
          </a:prstGeom>
          <a:solidFill>
            <a:srgbClr val="DE042D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CL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CL"/>
          </a:p>
        </xdr:txBody>
      </xdr:sp>
    </xdr:grpSp>
    <xdr:clientData/>
  </xdr:twoCellAnchor>
  <xdr:twoCellAnchor>
    <xdr:from>
      <xdr:col>21</xdr:col>
      <xdr:colOff>136072</xdr:colOff>
      <xdr:row>1</xdr:row>
      <xdr:rowOff>107496</xdr:rowOff>
    </xdr:from>
    <xdr:to>
      <xdr:col>23</xdr:col>
      <xdr:colOff>653143</xdr:colOff>
      <xdr:row>6</xdr:row>
      <xdr:rowOff>40822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47F146AD-8FD0-46FC-9EF4-B904B6941084}"/>
            </a:ext>
          </a:extLst>
        </xdr:cNvPr>
        <xdr:cNvSpPr txBox="1"/>
      </xdr:nvSpPr>
      <xdr:spPr>
        <a:xfrm>
          <a:off x="15395122" y="440871"/>
          <a:ext cx="2241096" cy="7429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300"/>
            <a:t>Tramo 1   x &gt; = 90%</a:t>
          </a:r>
        </a:p>
        <a:p>
          <a:r>
            <a:rPr lang="es-CL" sz="1300"/>
            <a:t>Tramo</a:t>
          </a:r>
          <a:r>
            <a:rPr lang="es-CL" sz="1300" baseline="0"/>
            <a:t> 2   75% &lt; =  x  &lt; 90%</a:t>
          </a:r>
        </a:p>
        <a:p>
          <a:r>
            <a:rPr lang="es-CL" sz="1300" baseline="0"/>
            <a:t>Tramo 3   x &lt;  75%</a:t>
          </a:r>
          <a:endParaRPr lang="es-CL" sz="1300"/>
        </a:p>
      </xdr:txBody>
    </xdr:sp>
    <xdr:clientData/>
  </xdr:twoCellAnchor>
  <xdr:oneCellAnchor>
    <xdr:from>
      <xdr:col>19</xdr:col>
      <xdr:colOff>517071</xdr:colOff>
      <xdr:row>28</xdr:row>
      <xdr:rowOff>95250</xdr:rowOff>
    </xdr:from>
    <xdr:ext cx="184731" cy="264560"/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90230F9B-99B9-4079-A524-6BCD2F428161}"/>
            </a:ext>
          </a:extLst>
        </xdr:cNvPr>
        <xdr:cNvSpPr txBox="1"/>
      </xdr:nvSpPr>
      <xdr:spPr>
        <a:xfrm>
          <a:off x="14252121" y="4800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L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15874</xdr:colOff>
      <xdr:row>47</xdr:row>
      <xdr:rowOff>0</xdr:rowOff>
    </xdr:from>
    <xdr:to>
      <xdr:col>8</xdr:col>
      <xdr:colOff>476250</xdr:colOff>
      <xdr:row>69</xdr:row>
      <xdr:rowOff>141338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47</xdr:row>
      <xdr:rowOff>-1</xdr:rowOff>
    </xdr:from>
    <xdr:to>
      <xdr:col>14</xdr:col>
      <xdr:colOff>464343</xdr:colOff>
      <xdr:row>70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63499</xdr:colOff>
      <xdr:row>47</xdr:row>
      <xdr:rowOff>-1</xdr:rowOff>
    </xdr:from>
    <xdr:to>
      <xdr:col>20</xdr:col>
      <xdr:colOff>523875</xdr:colOff>
      <xdr:row>70</xdr:row>
      <xdr:rowOff>11906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51592</xdr:colOff>
      <xdr:row>47</xdr:row>
      <xdr:rowOff>11905</xdr:rowOff>
    </xdr:from>
    <xdr:to>
      <xdr:col>27</xdr:col>
      <xdr:colOff>178593</xdr:colOff>
      <xdr:row>70</xdr:row>
      <xdr:rowOff>11905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47</xdr:row>
      <xdr:rowOff>47624</xdr:rowOff>
    </xdr:from>
    <xdr:to>
      <xdr:col>33</xdr:col>
      <xdr:colOff>285749</xdr:colOff>
      <xdr:row>70</xdr:row>
      <xdr:rowOff>23813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47</xdr:col>
      <xdr:colOff>83343</xdr:colOff>
      <xdr:row>46</xdr:row>
      <xdr:rowOff>130967</xdr:rowOff>
    </xdr:from>
    <xdr:to>
      <xdr:col>51</xdr:col>
      <xdr:colOff>190500</xdr:colOff>
      <xdr:row>70</xdr:row>
      <xdr:rowOff>71437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60</xdr:col>
      <xdr:colOff>48758</xdr:colOff>
      <xdr:row>46</xdr:row>
      <xdr:rowOff>149677</xdr:rowOff>
    </xdr:from>
    <xdr:to>
      <xdr:col>67</xdr:col>
      <xdr:colOff>598713</xdr:colOff>
      <xdr:row>70</xdr:row>
      <xdr:rowOff>107155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35</xdr:col>
      <xdr:colOff>173491</xdr:colOff>
      <xdr:row>47</xdr:row>
      <xdr:rowOff>98651</xdr:rowOff>
    </xdr:from>
    <xdr:to>
      <xdr:col>39</xdr:col>
      <xdr:colOff>452437</xdr:colOff>
      <xdr:row>70</xdr:row>
      <xdr:rowOff>71437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41</xdr:col>
      <xdr:colOff>79564</xdr:colOff>
      <xdr:row>46</xdr:row>
      <xdr:rowOff>136262</xdr:rowOff>
    </xdr:from>
    <xdr:to>
      <xdr:col>45</xdr:col>
      <xdr:colOff>429948</xdr:colOff>
      <xdr:row>70</xdr:row>
      <xdr:rowOff>59531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71</xdr:col>
      <xdr:colOff>13607</xdr:colOff>
      <xdr:row>4</xdr:row>
      <xdr:rowOff>40822</xdr:rowOff>
    </xdr:from>
    <xdr:to>
      <xdr:col>90</xdr:col>
      <xdr:colOff>217715</xdr:colOff>
      <xdr:row>39</xdr:row>
      <xdr:rowOff>292743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53</xdr:col>
      <xdr:colOff>0</xdr:colOff>
      <xdr:row>47</xdr:row>
      <xdr:rowOff>0</xdr:rowOff>
    </xdr:from>
    <xdr:to>
      <xdr:col>57</xdr:col>
      <xdr:colOff>869156</xdr:colOff>
      <xdr:row>71</xdr:row>
      <xdr:rowOff>52528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4AC9438C-17D0-41D7-BD5D-FA6A5DAB5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5527551-0/Desktop/Control%20de%20Gesti&#243;n%202/3.%20%2019.813%20APS%20-%20Oficial/2024/03%20Monitoreo%202024/REM_03%20Junio%20A&#241;o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5527551-0/Desktop/Control%20de%20Gesti&#243;n%202/3.%20%2019.813%20APS%20-%20Oficial/2024/REM%2003_Octubre_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5527551-0/Desktop/Control%20de%20Gesti&#243;n%202/3.%20%2019.813%20APS%20-%20Oficial/2024/REM%2003_Noviembre_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5527551-0/Desktop/Control%20de%20Gesti&#243;n%202/3.%20%2019.813%20APS%20-%20Oficial/2024/REM%2003_Diciembre_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REM_P12_Junio_202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15527551-0/Desktop/Control%20de%20Gesti&#243;n%202/3.%20%2019.813%20APS%20-%20Oficial/2024/03%20Monitoreo%202024/REM_09%20Junio%20A&#241;o%20202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REM_P04_Junio_202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REM_P03_Junio_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010"/>
      <sheetName val="117011"/>
      <sheetName val="117101"/>
      <sheetName val="117301"/>
      <sheetName val="117701"/>
      <sheetName val="117302"/>
      <sheetName val="117702"/>
      <sheetName val="117799"/>
      <sheetName val="117405"/>
      <sheetName val="117303"/>
      <sheetName val="117410"/>
      <sheetName val="117304"/>
      <sheetName val="200261"/>
      <sheetName val="117322"/>
      <sheetName val="117324"/>
      <sheetName val="117330"/>
      <sheetName val="117601"/>
      <sheetName val="200558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09"/>
      <sheetName val="11746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102"/>
      <sheetName val="117329"/>
      <sheetName val="117729"/>
      <sheetName val="117602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3">
          <cell r="J23">
            <v>1</v>
          </cell>
          <cell r="K23">
            <v>1</v>
          </cell>
          <cell r="L23">
            <v>5</v>
          </cell>
          <cell r="M23">
            <v>1</v>
          </cell>
        </row>
        <row r="26">
          <cell r="J26">
            <v>2</v>
          </cell>
          <cell r="K26">
            <v>0</v>
          </cell>
          <cell r="L26">
            <v>2</v>
          </cell>
          <cell r="M26">
            <v>1</v>
          </cell>
        </row>
        <row r="28">
          <cell r="J28">
            <v>2</v>
          </cell>
          <cell r="K28">
            <v>0</v>
          </cell>
          <cell r="L28">
            <v>2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81</v>
          </cell>
        </row>
        <row r="67">
          <cell r="H67">
            <v>109</v>
          </cell>
        </row>
        <row r="205">
          <cell r="F205">
            <v>45</v>
          </cell>
          <cell r="G205">
            <v>50</v>
          </cell>
          <cell r="H205">
            <v>42</v>
          </cell>
          <cell r="I205">
            <v>58</v>
          </cell>
          <cell r="J205">
            <v>67</v>
          </cell>
          <cell r="K205">
            <v>49</v>
          </cell>
          <cell r="L205">
            <v>46</v>
          </cell>
          <cell r="M205">
            <v>33</v>
          </cell>
          <cell r="N205">
            <v>49</v>
          </cell>
          <cell r="O205">
            <v>43</v>
          </cell>
          <cell r="P205">
            <v>43</v>
          </cell>
          <cell r="Q205">
            <v>58</v>
          </cell>
          <cell r="R205">
            <v>77</v>
          </cell>
          <cell r="S205">
            <v>60</v>
          </cell>
          <cell r="T205">
            <v>44</v>
          </cell>
          <cell r="U205">
            <v>40</v>
          </cell>
          <cell r="V205">
            <v>39</v>
          </cell>
          <cell r="W205">
            <v>42</v>
          </cell>
          <cell r="X205">
            <v>23</v>
          </cell>
          <cell r="Y205">
            <v>38</v>
          </cell>
        </row>
      </sheetData>
      <sheetData sheetId="10">
        <row r="23">
          <cell r="J23">
            <v>0</v>
          </cell>
          <cell r="K23">
            <v>0</v>
          </cell>
          <cell r="L23">
            <v>0</v>
          </cell>
          <cell r="M23">
            <v>1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5</v>
          </cell>
        </row>
        <row r="67">
          <cell r="H67">
            <v>7</v>
          </cell>
        </row>
        <row r="205">
          <cell r="F205">
            <v>5</v>
          </cell>
          <cell r="G205">
            <v>2</v>
          </cell>
          <cell r="H205">
            <v>2</v>
          </cell>
          <cell r="I205">
            <v>8</v>
          </cell>
          <cell r="J205">
            <v>2</v>
          </cell>
          <cell r="K205">
            <v>2</v>
          </cell>
          <cell r="L205">
            <v>5</v>
          </cell>
          <cell r="M205">
            <v>8</v>
          </cell>
          <cell r="N205">
            <v>10</v>
          </cell>
          <cell r="O205">
            <v>5</v>
          </cell>
          <cell r="P205">
            <v>2</v>
          </cell>
          <cell r="Q205">
            <v>2</v>
          </cell>
          <cell r="R205">
            <v>6</v>
          </cell>
          <cell r="S205">
            <v>3</v>
          </cell>
          <cell r="T205">
            <v>9</v>
          </cell>
          <cell r="U205">
            <v>4</v>
          </cell>
          <cell r="V205">
            <v>5</v>
          </cell>
          <cell r="W205">
            <v>2</v>
          </cell>
          <cell r="X205">
            <v>3</v>
          </cell>
          <cell r="Y205">
            <v>3</v>
          </cell>
        </row>
      </sheetData>
      <sheetData sheetId="11">
        <row r="23">
          <cell r="J23">
            <v>0</v>
          </cell>
          <cell r="K23">
            <v>0</v>
          </cell>
          <cell r="L23">
            <v>1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6</v>
          </cell>
        </row>
        <row r="67">
          <cell r="H67">
            <v>14</v>
          </cell>
        </row>
        <row r="205">
          <cell r="F205">
            <v>11</v>
          </cell>
          <cell r="G205">
            <v>9</v>
          </cell>
          <cell r="H205">
            <v>4</v>
          </cell>
          <cell r="I205">
            <v>5</v>
          </cell>
          <cell r="J205">
            <v>8</v>
          </cell>
          <cell r="K205">
            <v>10</v>
          </cell>
          <cell r="L205">
            <v>8</v>
          </cell>
          <cell r="M205">
            <v>8</v>
          </cell>
          <cell r="N205">
            <v>10</v>
          </cell>
          <cell r="O205">
            <v>10</v>
          </cell>
          <cell r="P205">
            <v>8</v>
          </cell>
          <cell r="Q205">
            <v>8</v>
          </cell>
          <cell r="R205">
            <v>12</v>
          </cell>
          <cell r="S205">
            <v>15</v>
          </cell>
          <cell r="T205">
            <v>3</v>
          </cell>
          <cell r="U205">
            <v>10</v>
          </cell>
          <cell r="V205">
            <v>3</v>
          </cell>
          <cell r="W205">
            <v>4</v>
          </cell>
          <cell r="X205">
            <v>6</v>
          </cell>
          <cell r="Y205">
            <v>10</v>
          </cell>
        </row>
      </sheetData>
      <sheetData sheetId="12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3</v>
          </cell>
        </row>
        <row r="67">
          <cell r="H67">
            <v>8</v>
          </cell>
        </row>
        <row r="205">
          <cell r="F205">
            <v>8</v>
          </cell>
          <cell r="G205">
            <v>4</v>
          </cell>
          <cell r="H205">
            <v>3</v>
          </cell>
          <cell r="I205">
            <v>2</v>
          </cell>
          <cell r="J205">
            <v>2</v>
          </cell>
          <cell r="K205">
            <v>3</v>
          </cell>
          <cell r="L205">
            <v>3</v>
          </cell>
          <cell r="M205">
            <v>5</v>
          </cell>
          <cell r="N205">
            <v>4</v>
          </cell>
          <cell r="O205">
            <v>1</v>
          </cell>
          <cell r="P205">
            <v>7</v>
          </cell>
          <cell r="Q205">
            <v>8</v>
          </cell>
          <cell r="R205">
            <v>4</v>
          </cell>
          <cell r="S205">
            <v>3</v>
          </cell>
          <cell r="T205">
            <v>8</v>
          </cell>
          <cell r="U205">
            <v>3</v>
          </cell>
          <cell r="V205">
            <v>2</v>
          </cell>
          <cell r="W205">
            <v>3</v>
          </cell>
          <cell r="X205">
            <v>4</v>
          </cell>
          <cell r="Y205">
            <v>5</v>
          </cell>
        </row>
      </sheetData>
      <sheetData sheetId="13">
        <row r="23">
          <cell r="J23">
            <v>0</v>
          </cell>
          <cell r="K23">
            <v>0</v>
          </cell>
          <cell r="L23">
            <v>2</v>
          </cell>
          <cell r="M23">
            <v>3</v>
          </cell>
        </row>
        <row r="26">
          <cell r="J26">
            <v>1</v>
          </cell>
          <cell r="K26">
            <v>0</v>
          </cell>
          <cell r="L26">
            <v>1</v>
          </cell>
          <cell r="M26">
            <v>1</v>
          </cell>
        </row>
        <row r="28">
          <cell r="J28">
            <v>0</v>
          </cell>
          <cell r="K28">
            <v>1</v>
          </cell>
          <cell r="L28">
            <v>2</v>
          </cell>
          <cell r="M28">
            <v>4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43</v>
          </cell>
        </row>
        <row r="67">
          <cell r="H67">
            <v>71</v>
          </cell>
        </row>
        <row r="205">
          <cell r="F205">
            <v>30</v>
          </cell>
          <cell r="G205">
            <v>24</v>
          </cell>
          <cell r="H205">
            <v>32</v>
          </cell>
          <cell r="I205">
            <v>24</v>
          </cell>
          <cell r="J205">
            <v>19</v>
          </cell>
          <cell r="K205">
            <v>23</v>
          </cell>
          <cell r="L205">
            <v>17</v>
          </cell>
          <cell r="M205">
            <v>23</v>
          </cell>
          <cell r="N205">
            <v>20</v>
          </cell>
          <cell r="O205">
            <v>22</v>
          </cell>
          <cell r="P205">
            <v>16</v>
          </cell>
          <cell r="Q205">
            <v>16</v>
          </cell>
          <cell r="R205">
            <v>37</v>
          </cell>
          <cell r="S205">
            <v>31</v>
          </cell>
          <cell r="T205">
            <v>13</v>
          </cell>
          <cell r="U205">
            <v>14</v>
          </cell>
          <cell r="V205">
            <v>9</v>
          </cell>
          <cell r="W205">
            <v>12</v>
          </cell>
          <cell r="X205">
            <v>12</v>
          </cell>
          <cell r="Y205">
            <v>15</v>
          </cell>
        </row>
      </sheetData>
      <sheetData sheetId="14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3</v>
          </cell>
        </row>
        <row r="67">
          <cell r="H67">
            <v>5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15">
        <row r="23">
          <cell r="J23">
            <v>1</v>
          </cell>
          <cell r="K23">
            <v>2</v>
          </cell>
          <cell r="L23">
            <v>0</v>
          </cell>
          <cell r="M23">
            <v>2</v>
          </cell>
        </row>
        <row r="26">
          <cell r="J26">
            <v>1</v>
          </cell>
          <cell r="K26">
            <v>1</v>
          </cell>
          <cell r="L26">
            <v>0</v>
          </cell>
          <cell r="M26">
            <v>1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1</v>
          </cell>
        </row>
        <row r="61">
          <cell r="H61">
            <v>26</v>
          </cell>
        </row>
        <row r="67">
          <cell r="H67">
            <v>44</v>
          </cell>
        </row>
        <row r="205">
          <cell r="F205">
            <v>21</v>
          </cell>
          <cell r="G205">
            <v>26</v>
          </cell>
          <cell r="H205">
            <v>15</v>
          </cell>
          <cell r="I205">
            <v>10</v>
          </cell>
          <cell r="J205">
            <v>15</v>
          </cell>
          <cell r="K205">
            <v>14</v>
          </cell>
          <cell r="L205">
            <v>11</v>
          </cell>
          <cell r="M205">
            <v>14</v>
          </cell>
          <cell r="N205">
            <v>20</v>
          </cell>
          <cell r="O205">
            <v>20</v>
          </cell>
          <cell r="P205">
            <v>14</v>
          </cell>
          <cell r="Q205">
            <v>13</v>
          </cell>
          <cell r="R205">
            <v>23</v>
          </cell>
          <cell r="S205">
            <v>23</v>
          </cell>
          <cell r="T205">
            <v>12</v>
          </cell>
          <cell r="U205">
            <v>15</v>
          </cell>
          <cell r="V205">
            <v>15</v>
          </cell>
          <cell r="W205">
            <v>15</v>
          </cell>
          <cell r="X205">
            <v>18</v>
          </cell>
          <cell r="Y205">
            <v>21</v>
          </cell>
        </row>
      </sheetData>
      <sheetData sheetId="16">
        <row r="23">
          <cell r="J23">
            <v>1</v>
          </cell>
          <cell r="K23">
            <v>0</v>
          </cell>
          <cell r="L23">
            <v>3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1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13</v>
          </cell>
        </row>
        <row r="67">
          <cell r="H67">
            <v>18</v>
          </cell>
        </row>
        <row r="205">
          <cell r="F205">
            <v>5</v>
          </cell>
          <cell r="G205">
            <v>5</v>
          </cell>
          <cell r="H205">
            <v>5</v>
          </cell>
          <cell r="I205">
            <v>0</v>
          </cell>
          <cell r="J205">
            <v>0</v>
          </cell>
          <cell r="K205">
            <v>3</v>
          </cell>
          <cell r="L205">
            <v>3</v>
          </cell>
          <cell r="M205">
            <v>4</v>
          </cell>
          <cell r="N205">
            <v>2</v>
          </cell>
          <cell r="O205">
            <v>0</v>
          </cell>
          <cell r="P205">
            <v>5</v>
          </cell>
          <cell r="Q205">
            <v>3</v>
          </cell>
          <cell r="R205">
            <v>4</v>
          </cell>
          <cell r="S205">
            <v>3</v>
          </cell>
          <cell r="T205">
            <v>3</v>
          </cell>
          <cell r="U205">
            <v>2</v>
          </cell>
          <cell r="V205">
            <v>3</v>
          </cell>
          <cell r="W205">
            <v>1</v>
          </cell>
          <cell r="X205">
            <v>2</v>
          </cell>
          <cell r="Y205">
            <v>4</v>
          </cell>
        </row>
      </sheetData>
      <sheetData sheetId="17">
        <row r="23">
          <cell r="J23">
            <v>0</v>
          </cell>
          <cell r="K23">
            <v>0</v>
          </cell>
          <cell r="L23">
            <v>2</v>
          </cell>
          <cell r="M23">
            <v>1</v>
          </cell>
        </row>
        <row r="26">
          <cell r="J26">
            <v>1</v>
          </cell>
          <cell r="K26">
            <v>0</v>
          </cell>
          <cell r="L26">
            <v>0</v>
          </cell>
          <cell r="M26">
            <v>1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7</v>
          </cell>
        </row>
        <row r="67">
          <cell r="H67">
            <v>8</v>
          </cell>
        </row>
        <row r="205">
          <cell r="F205">
            <v>4</v>
          </cell>
          <cell r="G205">
            <v>10</v>
          </cell>
          <cell r="H205">
            <v>7</v>
          </cell>
          <cell r="I205">
            <v>5</v>
          </cell>
          <cell r="J205">
            <v>11</v>
          </cell>
          <cell r="K205">
            <v>12</v>
          </cell>
          <cell r="L205">
            <v>8</v>
          </cell>
          <cell r="M205">
            <v>6</v>
          </cell>
          <cell r="N205">
            <v>10</v>
          </cell>
          <cell r="O205">
            <v>5</v>
          </cell>
          <cell r="P205">
            <v>6</v>
          </cell>
          <cell r="Q205">
            <v>10</v>
          </cell>
          <cell r="R205">
            <v>8</v>
          </cell>
          <cell r="S205">
            <v>7</v>
          </cell>
          <cell r="T205">
            <v>4</v>
          </cell>
          <cell r="U205">
            <v>10</v>
          </cell>
          <cell r="V205">
            <v>16</v>
          </cell>
          <cell r="W205">
            <v>17</v>
          </cell>
          <cell r="X205">
            <v>9</v>
          </cell>
          <cell r="Y205">
            <v>7</v>
          </cell>
        </row>
      </sheetData>
      <sheetData sheetId="18">
        <row r="23">
          <cell r="J23">
            <v>0</v>
          </cell>
          <cell r="K23">
            <v>0</v>
          </cell>
          <cell r="L23">
            <v>4</v>
          </cell>
          <cell r="M23">
            <v>6</v>
          </cell>
        </row>
        <row r="26">
          <cell r="J26">
            <v>0</v>
          </cell>
          <cell r="K26">
            <v>0</v>
          </cell>
          <cell r="L26">
            <v>4</v>
          </cell>
          <cell r="M26">
            <v>4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30</v>
          </cell>
        </row>
        <row r="67">
          <cell r="H67">
            <v>66</v>
          </cell>
        </row>
        <row r="205">
          <cell r="F205">
            <v>32</v>
          </cell>
          <cell r="G205">
            <v>30</v>
          </cell>
          <cell r="H205">
            <v>34</v>
          </cell>
          <cell r="I205">
            <v>34</v>
          </cell>
          <cell r="J205">
            <v>23</v>
          </cell>
          <cell r="K205">
            <v>24</v>
          </cell>
          <cell r="L205">
            <v>22</v>
          </cell>
          <cell r="M205">
            <v>26</v>
          </cell>
          <cell r="N205">
            <v>23</v>
          </cell>
          <cell r="O205">
            <v>21</v>
          </cell>
          <cell r="P205">
            <v>20</v>
          </cell>
          <cell r="Q205">
            <v>31</v>
          </cell>
          <cell r="R205">
            <v>31</v>
          </cell>
          <cell r="S205">
            <v>24</v>
          </cell>
          <cell r="T205">
            <v>23</v>
          </cell>
          <cell r="U205">
            <v>26</v>
          </cell>
          <cell r="V205">
            <v>17</v>
          </cell>
          <cell r="W205">
            <v>23</v>
          </cell>
          <cell r="X205">
            <v>23</v>
          </cell>
          <cell r="Y205">
            <v>27</v>
          </cell>
        </row>
      </sheetData>
      <sheetData sheetId="19">
        <row r="23">
          <cell r="J23">
            <v>2</v>
          </cell>
          <cell r="K23">
            <v>0</v>
          </cell>
          <cell r="L23">
            <v>5</v>
          </cell>
          <cell r="M23">
            <v>1</v>
          </cell>
        </row>
        <row r="26">
          <cell r="J26">
            <v>1</v>
          </cell>
          <cell r="K26">
            <v>0</v>
          </cell>
          <cell r="L26">
            <v>2</v>
          </cell>
          <cell r="M26">
            <v>1</v>
          </cell>
        </row>
        <row r="28">
          <cell r="J28">
            <v>0</v>
          </cell>
          <cell r="K28">
            <v>0</v>
          </cell>
          <cell r="L28">
            <v>1</v>
          </cell>
          <cell r="M28">
            <v>1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43</v>
          </cell>
        </row>
        <row r="67">
          <cell r="H67">
            <v>67</v>
          </cell>
        </row>
        <row r="205">
          <cell r="F205">
            <v>41</v>
          </cell>
          <cell r="G205">
            <v>27</v>
          </cell>
          <cell r="H205">
            <v>25</v>
          </cell>
          <cell r="I205">
            <v>30</v>
          </cell>
          <cell r="J205">
            <v>32</v>
          </cell>
          <cell r="K205">
            <v>35</v>
          </cell>
          <cell r="L205">
            <v>32</v>
          </cell>
          <cell r="M205">
            <v>32</v>
          </cell>
          <cell r="N205">
            <v>28</v>
          </cell>
          <cell r="O205">
            <v>25</v>
          </cell>
          <cell r="P205">
            <v>32</v>
          </cell>
          <cell r="Q205">
            <v>20</v>
          </cell>
          <cell r="R205">
            <v>39</v>
          </cell>
          <cell r="S205">
            <v>41</v>
          </cell>
          <cell r="T205">
            <v>6</v>
          </cell>
          <cell r="U205">
            <v>9</v>
          </cell>
          <cell r="V205">
            <v>4</v>
          </cell>
          <cell r="W205">
            <v>8</v>
          </cell>
          <cell r="X205">
            <v>3</v>
          </cell>
          <cell r="Y205">
            <v>7</v>
          </cell>
        </row>
      </sheetData>
      <sheetData sheetId="20"/>
      <sheetData sheetId="21"/>
      <sheetData sheetId="22"/>
      <sheetData sheetId="23"/>
      <sheetData sheetId="24">
        <row r="23">
          <cell r="J23">
            <v>0</v>
          </cell>
          <cell r="K23">
            <v>0</v>
          </cell>
          <cell r="L23">
            <v>1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1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12</v>
          </cell>
        </row>
        <row r="67">
          <cell r="H67">
            <v>33</v>
          </cell>
        </row>
        <row r="205">
          <cell r="F205">
            <v>7</v>
          </cell>
          <cell r="G205">
            <v>9</v>
          </cell>
          <cell r="H205">
            <v>3</v>
          </cell>
          <cell r="I205">
            <v>2</v>
          </cell>
          <cell r="J205">
            <v>5</v>
          </cell>
          <cell r="K205">
            <v>5</v>
          </cell>
          <cell r="L205">
            <v>4</v>
          </cell>
          <cell r="M205">
            <v>3</v>
          </cell>
          <cell r="N205">
            <v>4</v>
          </cell>
          <cell r="O205">
            <v>4</v>
          </cell>
          <cell r="P205">
            <v>10</v>
          </cell>
          <cell r="Q205">
            <v>5</v>
          </cell>
          <cell r="R205">
            <v>13</v>
          </cell>
          <cell r="S205">
            <v>12</v>
          </cell>
          <cell r="T205">
            <v>10</v>
          </cell>
          <cell r="U205">
            <v>9</v>
          </cell>
          <cell r="V205">
            <v>6</v>
          </cell>
          <cell r="W205">
            <v>8</v>
          </cell>
          <cell r="X205">
            <v>5</v>
          </cell>
          <cell r="Y205">
            <v>9</v>
          </cell>
        </row>
      </sheetData>
      <sheetData sheetId="25">
        <row r="23">
          <cell r="J23">
            <v>0</v>
          </cell>
          <cell r="K23">
            <v>0</v>
          </cell>
          <cell r="L23">
            <v>2</v>
          </cell>
          <cell r="M23">
            <v>1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3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1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6</v>
          </cell>
        </row>
        <row r="67">
          <cell r="H67">
            <v>10</v>
          </cell>
        </row>
        <row r="205">
          <cell r="F205">
            <v>6</v>
          </cell>
          <cell r="G205">
            <v>8</v>
          </cell>
          <cell r="H205">
            <v>8</v>
          </cell>
          <cell r="I205">
            <v>9</v>
          </cell>
          <cell r="J205">
            <v>6</v>
          </cell>
          <cell r="K205">
            <v>8</v>
          </cell>
          <cell r="L205">
            <v>6</v>
          </cell>
          <cell r="M205">
            <v>3</v>
          </cell>
          <cell r="N205">
            <v>5</v>
          </cell>
          <cell r="O205">
            <v>7</v>
          </cell>
          <cell r="P205">
            <v>7</v>
          </cell>
          <cell r="Q205">
            <v>5</v>
          </cell>
          <cell r="R205">
            <v>4</v>
          </cell>
          <cell r="S205">
            <v>8</v>
          </cell>
          <cell r="T205">
            <v>2</v>
          </cell>
          <cell r="U205">
            <v>8</v>
          </cell>
          <cell r="V205">
            <v>9</v>
          </cell>
          <cell r="W205">
            <v>2</v>
          </cell>
          <cell r="X205">
            <v>2</v>
          </cell>
          <cell r="Y205">
            <v>5</v>
          </cell>
        </row>
      </sheetData>
      <sheetData sheetId="26"/>
      <sheetData sheetId="27">
        <row r="23">
          <cell r="J23">
            <v>0</v>
          </cell>
          <cell r="K23">
            <v>1</v>
          </cell>
          <cell r="L23">
            <v>2</v>
          </cell>
          <cell r="M23">
            <v>2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34</v>
          </cell>
        </row>
        <row r="67">
          <cell r="H67">
            <v>52</v>
          </cell>
        </row>
        <row r="205">
          <cell r="F205">
            <v>38</v>
          </cell>
          <cell r="G205">
            <v>25</v>
          </cell>
          <cell r="H205">
            <v>25</v>
          </cell>
          <cell r="I205">
            <v>26</v>
          </cell>
          <cell r="J205">
            <v>23</v>
          </cell>
          <cell r="K205">
            <v>30</v>
          </cell>
          <cell r="L205">
            <v>32</v>
          </cell>
          <cell r="M205">
            <v>29</v>
          </cell>
          <cell r="N205">
            <v>27</v>
          </cell>
          <cell r="O205">
            <v>27</v>
          </cell>
          <cell r="P205">
            <v>36</v>
          </cell>
          <cell r="Q205">
            <v>29</v>
          </cell>
          <cell r="R205">
            <v>47</v>
          </cell>
          <cell r="S205">
            <v>42</v>
          </cell>
          <cell r="T205">
            <v>28</v>
          </cell>
          <cell r="U205">
            <v>28</v>
          </cell>
          <cell r="V205">
            <v>26</v>
          </cell>
          <cell r="W205">
            <v>26</v>
          </cell>
          <cell r="X205">
            <v>22</v>
          </cell>
          <cell r="Y205">
            <v>31</v>
          </cell>
        </row>
      </sheetData>
      <sheetData sheetId="28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2</v>
          </cell>
        </row>
        <row r="67">
          <cell r="H67">
            <v>5</v>
          </cell>
        </row>
        <row r="205">
          <cell r="F205">
            <v>5</v>
          </cell>
          <cell r="G205">
            <v>0</v>
          </cell>
          <cell r="H205">
            <v>2</v>
          </cell>
          <cell r="I205">
            <v>3</v>
          </cell>
          <cell r="J205">
            <v>2</v>
          </cell>
          <cell r="K205">
            <v>0</v>
          </cell>
          <cell r="L205">
            <v>1</v>
          </cell>
          <cell r="M205">
            <v>2</v>
          </cell>
          <cell r="N205">
            <v>0</v>
          </cell>
          <cell r="O205">
            <v>3</v>
          </cell>
          <cell r="P205">
            <v>2</v>
          </cell>
          <cell r="Q205">
            <v>0</v>
          </cell>
          <cell r="R205">
            <v>0</v>
          </cell>
          <cell r="S205">
            <v>5</v>
          </cell>
          <cell r="T205">
            <v>2</v>
          </cell>
          <cell r="U205">
            <v>2</v>
          </cell>
          <cell r="V205">
            <v>1</v>
          </cell>
          <cell r="W205">
            <v>0</v>
          </cell>
          <cell r="X205">
            <v>2</v>
          </cell>
          <cell r="Y205">
            <v>0</v>
          </cell>
        </row>
      </sheetData>
      <sheetData sheetId="29">
        <row r="23">
          <cell r="J23">
            <v>0</v>
          </cell>
          <cell r="K23">
            <v>0</v>
          </cell>
          <cell r="L23">
            <v>1</v>
          </cell>
          <cell r="M23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</v>
          </cell>
        </row>
        <row r="67">
          <cell r="H67">
            <v>1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1</v>
          </cell>
          <cell r="J205">
            <v>0</v>
          </cell>
          <cell r="K205">
            <v>0</v>
          </cell>
          <cell r="L205">
            <v>0</v>
          </cell>
          <cell r="M205">
            <v>1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1</v>
          </cell>
          <cell r="S205">
            <v>3</v>
          </cell>
          <cell r="T205">
            <v>0</v>
          </cell>
          <cell r="U205">
            <v>0</v>
          </cell>
          <cell r="V205">
            <v>1</v>
          </cell>
          <cell r="W205">
            <v>0</v>
          </cell>
          <cell r="X205">
            <v>0</v>
          </cell>
          <cell r="Y205">
            <v>3</v>
          </cell>
        </row>
      </sheetData>
      <sheetData sheetId="30">
        <row r="23">
          <cell r="J23">
            <v>0</v>
          </cell>
          <cell r="K23">
            <v>0</v>
          </cell>
          <cell r="L23">
            <v>2</v>
          </cell>
          <cell r="M23">
            <v>2</v>
          </cell>
        </row>
        <row r="26">
          <cell r="J26">
            <v>1</v>
          </cell>
          <cell r="K26">
            <v>0</v>
          </cell>
          <cell r="L26">
            <v>0</v>
          </cell>
          <cell r="M26">
            <v>2</v>
          </cell>
        </row>
        <row r="28">
          <cell r="J28">
            <v>0</v>
          </cell>
          <cell r="K28">
            <v>0</v>
          </cell>
          <cell r="L28">
            <v>1</v>
          </cell>
          <cell r="M28">
            <v>1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32</v>
          </cell>
        </row>
        <row r="67">
          <cell r="H67">
            <v>64</v>
          </cell>
        </row>
        <row r="205">
          <cell r="F205">
            <v>36</v>
          </cell>
          <cell r="G205">
            <v>34</v>
          </cell>
          <cell r="H205">
            <v>40</v>
          </cell>
          <cell r="I205">
            <v>28</v>
          </cell>
          <cell r="J205">
            <v>20</v>
          </cell>
          <cell r="K205">
            <v>19</v>
          </cell>
          <cell r="L205">
            <v>14</v>
          </cell>
          <cell r="M205">
            <v>22</v>
          </cell>
          <cell r="N205">
            <v>18</v>
          </cell>
          <cell r="O205">
            <v>19</v>
          </cell>
          <cell r="P205">
            <v>21</v>
          </cell>
          <cell r="Q205">
            <v>25</v>
          </cell>
          <cell r="R205">
            <v>34</v>
          </cell>
          <cell r="S205">
            <v>41</v>
          </cell>
          <cell r="T205">
            <v>19</v>
          </cell>
          <cell r="U205">
            <v>17</v>
          </cell>
          <cell r="V205">
            <v>22</v>
          </cell>
          <cell r="W205">
            <v>31</v>
          </cell>
          <cell r="X205">
            <v>26</v>
          </cell>
          <cell r="Y205">
            <v>17</v>
          </cell>
        </row>
      </sheetData>
      <sheetData sheetId="31"/>
      <sheetData sheetId="32"/>
      <sheetData sheetId="33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2</v>
          </cell>
        </row>
        <row r="67">
          <cell r="H67">
            <v>2</v>
          </cell>
        </row>
        <row r="205">
          <cell r="F205">
            <v>2</v>
          </cell>
          <cell r="G205">
            <v>5</v>
          </cell>
          <cell r="H205">
            <v>2</v>
          </cell>
          <cell r="I205">
            <v>3</v>
          </cell>
          <cell r="J205">
            <v>2</v>
          </cell>
          <cell r="K205">
            <v>3</v>
          </cell>
          <cell r="L205">
            <v>3</v>
          </cell>
          <cell r="M205">
            <v>4</v>
          </cell>
          <cell r="N205">
            <v>2</v>
          </cell>
          <cell r="O205">
            <v>13</v>
          </cell>
          <cell r="P205">
            <v>7</v>
          </cell>
          <cell r="Q205">
            <v>8</v>
          </cell>
          <cell r="R205">
            <v>30</v>
          </cell>
          <cell r="S205">
            <v>22</v>
          </cell>
          <cell r="T205">
            <v>23</v>
          </cell>
          <cell r="U205">
            <v>17</v>
          </cell>
          <cell r="V205">
            <v>71</v>
          </cell>
          <cell r="W205">
            <v>65</v>
          </cell>
          <cell r="X205">
            <v>37</v>
          </cell>
          <cell r="Y205">
            <v>22</v>
          </cell>
        </row>
      </sheetData>
      <sheetData sheetId="34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</v>
          </cell>
        </row>
        <row r="67">
          <cell r="H67">
            <v>1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35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36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2</v>
          </cell>
        </row>
        <row r="67">
          <cell r="H67">
            <v>3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37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</v>
          </cell>
        </row>
        <row r="67">
          <cell r="H67">
            <v>1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38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39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40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41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42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</v>
          </cell>
        </row>
        <row r="67">
          <cell r="H67">
            <v>1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43"/>
      <sheetData sheetId="44">
        <row r="23">
          <cell r="J23">
            <v>0</v>
          </cell>
          <cell r="K23">
            <v>0</v>
          </cell>
          <cell r="L23">
            <v>4</v>
          </cell>
          <cell r="M23">
            <v>1</v>
          </cell>
        </row>
        <row r="26">
          <cell r="J26">
            <v>0</v>
          </cell>
          <cell r="K26">
            <v>0</v>
          </cell>
          <cell r="L26">
            <v>2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12</v>
          </cell>
        </row>
        <row r="67">
          <cell r="H67">
            <v>25</v>
          </cell>
        </row>
        <row r="205">
          <cell r="F205">
            <v>12</v>
          </cell>
          <cell r="G205">
            <v>9</v>
          </cell>
          <cell r="H205">
            <v>15</v>
          </cell>
          <cell r="I205">
            <v>15</v>
          </cell>
          <cell r="J205">
            <v>15</v>
          </cell>
          <cell r="K205">
            <v>12</v>
          </cell>
          <cell r="L205">
            <v>15</v>
          </cell>
          <cell r="M205">
            <v>19</v>
          </cell>
          <cell r="N205">
            <v>11</v>
          </cell>
          <cell r="O205">
            <v>15</v>
          </cell>
          <cell r="P205">
            <v>18</v>
          </cell>
          <cell r="Q205">
            <v>22</v>
          </cell>
          <cell r="R205">
            <v>15</v>
          </cell>
          <cell r="S205">
            <v>10</v>
          </cell>
          <cell r="T205">
            <v>15</v>
          </cell>
          <cell r="U205">
            <v>12</v>
          </cell>
          <cell r="V205">
            <v>20</v>
          </cell>
          <cell r="W205">
            <v>14</v>
          </cell>
          <cell r="X205">
            <v>13</v>
          </cell>
          <cell r="Y205">
            <v>9</v>
          </cell>
        </row>
      </sheetData>
      <sheetData sheetId="45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46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47"/>
      <sheetData sheetId="48">
        <row r="23">
          <cell r="J23">
            <v>0</v>
          </cell>
          <cell r="K23">
            <v>0</v>
          </cell>
          <cell r="L23">
            <v>4</v>
          </cell>
          <cell r="M23">
            <v>2</v>
          </cell>
        </row>
        <row r="26">
          <cell r="J26">
            <v>0</v>
          </cell>
          <cell r="K26">
            <v>1</v>
          </cell>
          <cell r="L26">
            <v>1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3</v>
          </cell>
          <cell r="M28">
            <v>1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19</v>
          </cell>
        </row>
        <row r="67">
          <cell r="H67">
            <v>39</v>
          </cell>
        </row>
        <row r="205">
          <cell r="F205">
            <v>26</v>
          </cell>
          <cell r="G205">
            <v>19</v>
          </cell>
          <cell r="H205">
            <v>20</v>
          </cell>
          <cell r="I205">
            <v>21</v>
          </cell>
          <cell r="J205">
            <v>11</v>
          </cell>
          <cell r="K205">
            <v>14</v>
          </cell>
          <cell r="L205">
            <v>3</v>
          </cell>
          <cell r="M205">
            <v>6</v>
          </cell>
          <cell r="N205">
            <v>13</v>
          </cell>
          <cell r="O205">
            <v>8</v>
          </cell>
          <cell r="P205">
            <v>9</v>
          </cell>
          <cell r="Q205">
            <v>11</v>
          </cell>
          <cell r="R205">
            <v>21</v>
          </cell>
          <cell r="S205">
            <v>11</v>
          </cell>
          <cell r="T205">
            <v>19</v>
          </cell>
          <cell r="U205">
            <v>16</v>
          </cell>
          <cell r="V205">
            <v>24</v>
          </cell>
          <cell r="W205">
            <v>18</v>
          </cell>
          <cell r="X205">
            <v>16</v>
          </cell>
          <cell r="Y205">
            <v>19</v>
          </cell>
        </row>
      </sheetData>
      <sheetData sheetId="49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6</v>
          </cell>
        </row>
        <row r="67">
          <cell r="H67">
            <v>10</v>
          </cell>
        </row>
        <row r="205">
          <cell r="F205">
            <v>3</v>
          </cell>
          <cell r="G205">
            <v>2</v>
          </cell>
          <cell r="H205">
            <v>2</v>
          </cell>
          <cell r="I205">
            <v>1</v>
          </cell>
          <cell r="J205">
            <v>2</v>
          </cell>
          <cell r="K205">
            <v>1</v>
          </cell>
          <cell r="L205">
            <v>3</v>
          </cell>
          <cell r="M205">
            <v>2</v>
          </cell>
          <cell r="N205">
            <v>4</v>
          </cell>
          <cell r="O205">
            <v>6</v>
          </cell>
          <cell r="P205">
            <v>2</v>
          </cell>
          <cell r="Q205">
            <v>3</v>
          </cell>
          <cell r="R205">
            <v>7</v>
          </cell>
          <cell r="S205">
            <v>7</v>
          </cell>
          <cell r="T205">
            <v>3</v>
          </cell>
          <cell r="U205">
            <v>3</v>
          </cell>
          <cell r="V205">
            <v>2</v>
          </cell>
          <cell r="W205">
            <v>4</v>
          </cell>
          <cell r="X205">
            <v>1</v>
          </cell>
          <cell r="Y205">
            <v>4</v>
          </cell>
        </row>
      </sheetData>
      <sheetData sheetId="50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2</v>
          </cell>
          <cell r="O205">
            <v>1</v>
          </cell>
          <cell r="P205">
            <v>1</v>
          </cell>
          <cell r="Q205">
            <v>1</v>
          </cell>
          <cell r="R205">
            <v>0</v>
          </cell>
          <cell r="S205">
            <v>1</v>
          </cell>
          <cell r="T205">
            <v>2</v>
          </cell>
          <cell r="U205">
            <v>1</v>
          </cell>
          <cell r="V205">
            <v>1</v>
          </cell>
          <cell r="W205">
            <v>1</v>
          </cell>
          <cell r="X205">
            <v>1</v>
          </cell>
          <cell r="Y205">
            <v>0</v>
          </cell>
        </row>
      </sheetData>
      <sheetData sheetId="51"/>
      <sheetData sheetId="52">
        <row r="23">
          <cell r="J23">
            <v>0</v>
          </cell>
          <cell r="K23">
            <v>0</v>
          </cell>
          <cell r="L23">
            <v>5</v>
          </cell>
          <cell r="M23">
            <v>3</v>
          </cell>
        </row>
        <row r="26">
          <cell r="J26">
            <v>2</v>
          </cell>
          <cell r="K26">
            <v>0</v>
          </cell>
          <cell r="L26">
            <v>3</v>
          </cell>
          <cell r="M26">
            <v>3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21</v>
          </cell>
        </row>
        <row r="67">
          <cell r="H67">
            <v>48</v>
          </cell>
        </row>
        <row r="205">
          <cell r="F205">
            <v>17</v>
          </cell>
          <cell r="G205">
            <v>10</v>
          </cell>
          <cell r="H205">
            <v>18</v>
          </cell>
          <cell r="I205">
            <v>20</v>
          </cell>
          <cell r="J205">
            <v>22</v>
          </cell>
          <cell r="K205">
            <v>13</v>
          </cell>
          <cell r="L205">
            <v>15</v>
          </cell>
          <cell r="M205">
            <v>12</v>
          </cell>
          <cell r="N205">
            <v>13</v>
          </cell>
          <cell r="O205">
            <v>18</v>
          </cell>
          <cell r="P205">
            <v>25</v>
          </cell>
          <cell r="Q205">
            <v>12</v>
          </cell>
          <cell r="R205">
            <v>22</v>
          </cell>
          <cell r="S205">
            <v>22</v>
          </cell>
          <cell r="T205">
            <v>18</v>
          </cell>
          <cell r="U205">
            <v>16</v>
          </cell>
          <cell r="V205">
            <v>21</v>
          </cell>
          <cell r="W205">
            <v>17</v>
          </cell>
          <cell r="X205">
            <v>12</v>
          </cell>
          <cell r="Y205">
            <v>15</v>
          </cell>
        </row>
      </sheetData>
      <sheetData sheetId="53">
        <row r="23">
          <cell r="J23">
            <v>1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</v>
          </cell>
        </row>
        <row r="67">
          <cell r="H67">
            <v>2</v>
          </cell>
        </row>
        <row r="205">
          <cell r="F205">
            <v>3</v>
          </cell>
          <cell r="G205">
            <v>1</v>
          </cell>
          <cell r="H205">
            <v>2</v>
          </cell>
          <cell r="I205">
            <v>1</v>
          </cell>
          <cell r="J205">
            <v>3</v>
          </cell>
          <cell r="K205">
            <v>3</v>
          </cell>
          <cell r="L205">
            <v>5</v>
          </cell>
          <cell r="M205">
            <v>6</v>
          </cell>
          <cell r="N205">
            <v>8</v>
          </cell>
          <cell r="O205">
            <v>0</v>
          </cell>
          <cell r="P205">
            <v>5</v>
          </cell>
          <cell r="Q205">
            <v>3</v>
          </cell>
          <cell r="R205">
            <v>4</v>
          </cell>
          <cell r="S205">
            <v>4</v>
          </cell>
          <cell r="T205">
            <v>4</v>
          </cell>
          <cell r="U205">
            <v>3</v>
          </cell>
          <cell r="V205">
            <v>4</v>
          </cell>
          <cell r="W205">
            <v>6</v>
          </cell>
          <cell r="X205">
            <v>2</v>
          </cell>
          <cell r="Y205">
            <v>4</v>
          </cell>
        </row>
      </sheetData>
      <sheetData sheetId="54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55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1</v>
          </cell>
          <cell r="Q205">
            <v>2</v>
          </cell>
          <cell r="R205">
            <v>2</v>
          </cell>
          <cell r="S205">
            <v>1</v>
          </cell>
          <cell r="T205">
            <v>0</v>
          </cell>
          <cell r="U205">
            <v>1</v>
          </cell>
          <cell r="V205">
            <v>0</v>
          </cell>
          <cell r="W205">
            <v>2</v>
          </cell>
          <cell r="X205">
            <v>0</v>
          </cell>
          <cell r="Y205">
            <v>2</v>
          </cell>
        </row>
      </sheetData>
      <sheetData sheetId="56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57"/>
      <sheetData sheetId="58">
        <row r="23">
          <cell r="J23">
            <v>0</v>
          </cell>
          <cell r="K23">
            <v>0</v>
          </cell>
          <cell r="L23">
            <v>4</v>
          </cell>
          <cell r="M23">
            <v>4</v>
          </cell>
        </row>
        <row r="26">
          <cell r="J26">
            <v>1</v>
          </cell>
          <cell r="K26">
            <v>0</v>
          </cell>
          <cell r="L26">
            <v>0</v>
          </cell>
          <cell r="M26">
            <v>1</v>
          </cell>
        </row>
        <row r="28">
          <cell r="J28">
            <v>0</v>
          </cell>
          <cell r="K28">
            <v>0</v>
          </cell>
          <cell r="L28">
            <v>2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17</v>
          </cell>
        </row>
        <row r="67">
          <cell r="H67">
            <v>28</v>
          </cell>
        </row>
        <row r="205">
          <cell r="F205">
            <v>15</v>
          </cell>
          <cell r="G205">
            <v>12</v>
          </cell>
          <cell r="H205">
            <v>3</v>
          </cell>
          <cell r="I205">
            <v>12</v>
          </cell>
          <cell r="J205">
            <v>10</v>
          </cell>
          <cell r="K205">
            <v>12</v>
          </cell>
          <cell r="L205">
            <v>10</v>
          </cell>
          <cell r="M205">
            <v>12</v>
          </cell>
          <cell r="N205">
            <v>18</v>
          </cell>
          <cell r="O205">
            <v>17</v>
          </cell>
          <cell r="P205">
            <v>13</v>
          </cell>
          <cell r="Q205">
            <v>13</v>
          </cell>
          <cell r="R205">
            <v>11</v>
          </cell>
          <cell r="S205">
            <v>22</v>
          </cell>
          <cell r="T205">
            <v>3</v>
          </cell>
          <cell r="U205">
            <v>4</v>
          </cell>
          <cell r="V205">
            <v>2</v>
          </cell>
          <cell r="W205">
            <v>9</v>
          </cell>
          <cell r="X205">
            <v>8</v>
          </cell>
          <cell r="Y205">
            <v>6</v>
          </cell>
        </row>
      </sheetData>
      <sheetData sheetId="59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60">
        <row r="23">
          <cell r="J23">
            <v>0</v>
          </cell>
          <cell r="K23">
            <v>1</v>
          </cell>
          <cell r="L23">
            <v>2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1</v>
          </cell>
          <cell r="M26">
            <v>1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13</v>
          </cell>
        </row>
        <row r="67">
          <cell r="H67">
            <v>22</v>
          </cell>
        </row>
        <row r="205">
          <cell r="F205">
            <v>4</v>
          </cell>
          <cell r="G205">
            <v>7</v>
          </cell>
          <cell r="H205">
            <v>4</v>
          </cell>
          <cell r="I205">
            <v>5</v>
          </cell>
          <cell r="J205">
            <v>7</v>
          </cell>
          <cell r="K205">
            <v>5</v>
          </cell>
          <cell r="L205">
            <v>2</v>
          </cell>
          <cell r="M205">
            <v>2</v>
          </cell>
          <cell r="N205">
            <v>5</v>
          </cell>
          <cell r="O205">
            <v>2</v>
          </cell>
          <cell r="P205">
            <v>3</v>
          </cell>
          <cell r="Q205">
            <v>3</v>
          </cell>
          <cell r="R205">
            <v>7</v>
          </cell>
          <cell r="S205">
            <v>4</v>
          </cell>
          <cell r="T205">
            <v>3</v>
          </cell>
          <cell r="U205">
            <v>3</v>
          </cell>
          <cell r="V205">
            <v>6</v>
          </cell>
          <cell r="W205">
            <v>6</v>
          </cell>
          <cell r="X205">
            <v>1</v>
          </cell>
          <cell r="Y205">
            <v>3</v>
          </cell>
        </row>
      </sheetData>
      <sheetData sheetId="61">
        <row r="23">
          <cell r="J23">
            <v>1</v>
          </cell>
          <cell r="K23">
            <v>0</v>
          </cell>
          <cell r="L23">
            <v>2</v>
          </cell>
          <cell r="M23">
            <v>0</v>
          </cell>
        </row>
        <row r="26">
          <cell r="J26">
            <v>0</v>
          </cell>
          <cell r="K26">
            <v>1</v>
          </cell>
          <cell r="L26">
            <v>2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8</v>
          </cell>
        </row>
        <row r="67">
          <cell r="H67">
            <v>8</v>
          </cell>
        </row>
        <row r="205">
          <cell r="F205">
            <v>10</v>
          </cell>
          <cell r="G205">
            <v>7</v>
          </cell>
          <cell r="H205">
            <v>13</v>
          </cell>
          <cell r="I205">
            <v>13</v>
          </cell>
          <cell r="J205">
            <v>7</v>
          </cell>
          <cell r="K205">
            <v>11</v>
          </cell>
          <cell r="L205">
            <v>9</v>
          </cell>
          <cell r="M205">
            <v>9</v>
          </cell>
          <cell r="N205">
            <v>11</v>
          </cell>
          <cell r="O205">
            <v>9</v>
          </cell>
          <cell r="P205">
            <v>10</v>
          </cell>
          <cell r="Q205">
            <v>11</v>
          </cell>
          <cell r="R205">
            <v>11</v>
          </cell>
          <cell r="S205">
            <v>13</v>
          </cell>
          <cell r="T205">
            <v>9</v>
          </cell>
          <cell r="U205">
            <v>10</v>
          </cell>
          <cell r="V205">
            <v>12</v>
          </cell>
          <cell r="W205">
            <v>3</v>
          </cell>
          <cell r="X205">
            <v>4</v>
          </cell>
          <cell r="Y205">
            <v>5</v>
          </cell>
        </row>
      </sheetData>
      <sheetData sheetId="62"/>
      <sheetData sheetId="63"/>
      <sheetData sheetId="64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9</v>
          </cell>
        </row>
        <row r="67">
          <cell r="H67">
            <v>14</v>
          </cell>
        </row>
        <row r="205">
          <cell r="F205">
            <v>6</v>
          </cell>
          <cell r="G205">
            <v>5</v>
          </cell>
          <cell r="H205">
            <v>7</v>
          </cell>
          <cell r="I205">
            <v>6</v>
          </cell>
          <cell r="J205">
            <v>6</v>
          </cell>
          <cell r="K205">
            <v>3</v>
          </cell>
          <cell r="L205">
            <v>4</v>
          </cell>
          <cell r="M205">
            <v>3</v>
          </cell>
          <cell r="N205">
            <v>3</v>
          </cell>
          <cell r="O205">
            <v>2</v>
          </cell>
          <cell r="P205">
            <v>3</v>
          </cell>
          <cell r="Q205">
            <v>4</v>
          </cell>
          <cell r="R205">
            <v>5</v>
          </cell>
          <cell r="S205">
            <v>10</v>
          </cell>
          <cell r="T205">
            <v>9</v>
          </cell>
          <cell r="U205">
            <v>3</v>
          </cell>
          <cell r="V205">
            <v>2</v>
          </cell>
          <cell r="W205">
            <v>6</v>
          </cell>
          <cell r="X205">
            <v>4</v>
          </cell>
          <cell r="Y205">
            <v>0</v>
          </cell>
        </row>
      </sheetData>
      <sheetData sheetId="65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1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1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66"/>
      <sheetData sheetId="67"/>
      <sheetData sheetId="68"/>
      <sheetData sheetId="69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</sheetData>
      <sheetData sheetId="70"/>
      <sheetData sheetId="71">
        <row r="23">
          <cell r="J23">
            <v>0</v>
          </cell>
          <cell r="K23">
            <v>0</v>
          </cell>
          <cell r="L23">
            <v>5</v>
          </cell>
          <cell r="M23">
            <v>0</v>
          </cell>
        </row>
        <row r="26">
          <cell r="J26">
            <v>1</v>
          </cell>
          <cell r="K26">
            <v>0</v>
          </cell>
          <cell r="L26">
            <v>3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11</v>
          </cell>
        </row>
        <row r="67">
          <cell r="H67">
            <v>14</v>
          </cell>
        </row>
        <row r="205">
          <cell r="F205">
            <v>12</v>
          </cell>
          <cell r="G205">
            <v>4</v>
          </cell>
          <cell r="H205">
            <v>6</v>
          </cell>
          <cell r="I205">
            <v>2</v>
          </cell>
          <cell r="J205">
            <v>7</v>
          </cell>
          <cell r="K205">
            <v>2</v>
          </cell>
          <cell r="L205">
            <v>2</v>
          </cell>
          <cell r="M205">
            <v>5</v>
          </cell>
          <cell r="N205">
            <v>4</v>
          </cell>
          <cell r="O205">
            <v>4</v>
          </cell>
          <cell r="P205">
            <v>3</v>
          </cell>
          <cell r="Q205">
            <v>4</v>
          </cell>
          <cell r="R205">
            <v>4</v>
          </cell>
          <cell r="S205">
            <v>6</v>
          </cell>
          <cell r="T205">
            <v>2</v>
          </cell>
          <cell r="U205">
            <v>3</v>
          </cell>
          <cell r="V205">
            <v>1</v>
          </cell>
          <cell r="W205">
            <v>1</v>
          </cell>
          <cell r="X205">
            <v>1</v>
          </cell>
          <cell r="Y205">
            <v>0</v>
          </cell>
        </row>
      </sheetData>
      <sheetData sheetId="72">
        <row r="23">
          <cell r="J23">
            <v>0</v>
          </cell>
          <cell r="K23">
            <v>1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</v>
          </cell>
        </row>
        <row r="67">
          <cell r="H67">
            <v>1</v>
          </cell>
        </row>
        <row r="205">
          <cell r="F205">
            <v>3</v>
          </cell>
          <cell r="G205">
            <v>1</v>
          </cell>
          <cell r="H205">
            <v>0</v>
          </cell>
          <cell r="I205">
            <v>2</v>
          </cell>
          <cell r="J205">
            <v>2</v>
          </cell>
          <cell r="K205">
            <v>2</v>
          </cell>
          <cell r="L205">
            <v>1</v>
          </cell>
          <cell r="M205">
            <v>4</v>
          </cell>
          <cell r="N205">
            <v>3</v>
          </cell>
          <cell r="O205">
            <v>4</v>
          </cell>
          <cell r="P205">
            <v>2</v>
          </cell>
          <cell r="Q205">
            <v>0</v>
          </cell>
          <cell r="R205">
            <v>2</v>
          </cell>
          <cell r="S205">
            <v>2</v>
          </cell>
          <cell r="T205">
            <v>0</v>
          </cell>
          <cell r="U205">
            <v>0</v>
          </cell>
          <cell r="V205">
            <v>1</v>
          </cell>
          <cell r="W205">
            <v>0</v>
          </cell>
          <cell r="X205">
            <v>0</v>
          </cell>
          <cell r="Y205">
            <v>0</v>
          </cell>
        </row>
      </sheetData>
      <sheetData sheetId="73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</v>
          </cell>
        </row>
        <row r="67">
          <cell r="H67">
            <v>1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74"/>
      <sheetData sheetId="75"/>
      <sheetData sheetId="76">
        <row r="23">
          <cell r="J23">
            <v>0</v>
          </cell>
          <cell r="K23">
            <v>0</v>
          </cell>
          <cell r="L23">
            <v>1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1</v>
          </cell>
          <cell r="I205">
            <v>1</v>
          </cell>
          <cell r="J205">
            <v>1</v>
          </cell>
          <cell r="K205">
            <v>1</v>
          </cell>
          <cell r="L205">
            <v>1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3</v>
          </cell>
          <cell r="R205">
            <v>0</v>
          </cell>
          <cell r="S205">
            <v>1</v>
          </cell>
          <cell r="T205">
            <v>2</v>
          </cell>
          <cell r="U205">
            <v>2</v>
          </cell>
          <cell r="V205">
            <v>0</v>
          </cell>
          <cell r="W205">
            <v>0</v>
          </cell>
          <cell r="X205">
            <v>0</v>
          </cell>
          <cell r="Y205">
            <v>2</v>
          </cell>
        </row>
      </sheetData>
      <sheetData sheetId="77">
        <row r="23">
          <cell r="J23">
            <v>0</v>
          </cell>
          <cell r="K23">
            <v>0</v>
          </cell>
          <cell r="L23">
            <v>2</v>
          </cell>
          <cell r="M23">
            <v>1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1</v>
          </cell>
          <cell r="I205">
            <v>3</v>
          </cell>
          <cell r="J205">
            <v>0</v>
          </cell>
          <cell r="K205">
            <v>4</v>
          </cell>
          <cell r="L205">
            <v>4</v>
          </cell>
          <cell r="M205">
            <v>0</v>
          </cell>
          <cell r="N205">
            <v>6</v>
          </cell>
          <cell r="O205">
            <v>9</v>
          </cell>
          <cell r="P205">
            <v>5</v>
          </cell>
          <cell r="Q205">
            <v>11</v>
          </cell>
          <cell r="R205">
            <v>15</v>
          </cell>
          <cell r="S205">
            <v>11</v>
          </cell>
          <cell r="T205">
            <v>2</v>
          </cell>
          <cell r="U205">
            <v>2</v>
          </cell>
          <cell r="V205">
            <v>2</v>
          </cell>
          <cell r="W205">
            <v>2</v>
          </cell>
          <cell r="X205">
            <v>0</v>
          </cell>
          <cell r="Y205">
            <v>1</v>
          </cell>
        </row>
      </sheetData>
      <sheetData sheetId="78">
        <row r="23">
          <cell r="J23">
            <v>0</v>
          </cell>
          <cell r="K23">
            <v>0</v>
          </cell>
          <cell r="L23">
            <v>1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1</v>
          </cell>
          <cell r="O205">
            <v>0</v>
          </cell>
          <cell r="P205">
            <v>0</v>
          </cell>
          <cell r="Q205">
            <v>0</v>
          </cell>
          <cell r="R205">
            <v>1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1</v>
          </cell>
          <cell r="X205">
            <v>0</v>
          </cell>
          <cell r="Y205">
            <v>0</v>
          </cell>
        </row>
      </sheetData>
      <sheetData sheetId="79"/>
      <sheetData sheetId="80">
        <row r="23">
          <cell r="J23">
            <v>0</v>
          </cell>
          <cell r="K23">
            <v>0</v>
          </cell>
          <cell r="L23">
            <v>0</v>
          </cell>
          <cell r="M23">
            <v>1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15</v>
          </cell>
        </row>
        <row r="67">
          <cell r="H67">
            <v>22</v>
          </cell>
        </row>
        <row r="205">
          <cell r="F205">
            <v>8</v>
          </cell>
          <cell r="G205">
            <v>7</v>
          </cell>
          <cell r="H205">
            <v>13</v>
          </cell>
          <cell r="I205">
            <v>11</v>
          </cell>
          <cell r="J205">
            <v>6</v>
          </cell>
          <cell r="K205">
            <v>5</v>
          </cell>
          <cell r="L205">
            <v>8</v>
          </cell>
          <cell r="M205">
            <v>3</v>
          </cell>
          <cell r="N205">
            <v>4</v>
          </cell>
          <cell r="O205">
            <v>1</v>
          </cell>
          <cell r="P205">
            <v>5</v>
          </cell>
          <cell r="Q205">
            <v>8</v>
          </cell>
          <cell r="R205">
            <v>11</v>
          </cell>
          <cell r="S205">
            <v>9</v>
          </cell>
          <cell r="T205">
            <v>5</v>
          </cell>
          <cell r="U205">
            <v>10</v>
          </cell>
          <cell r="V205">
            <v>3</v>
          </cell>
          <cell r="W205">
            <v>4</v>
          </cell>
          <cell r="X205">
            <v>6</v>
          </cell>
          <cell r="Y205">
            <v>7</v>
          </cell>
        </row>
      </sheetData>
      <sheetData sheetId="81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1</v>
          </cell>
          <cell r="L205">
            <v>0</v>
          </cell>
          <cell r="M205">
            <v>0</v>
          </cell>
          <cell r="N205">
            <v>1</v>
          </cell>
          <cell r="O205">
            <v>3</v>
          </cell>
          <cell r="P205">
            <v>2</v>
          </cell>
          <cell r="Q205">
            <v>4</v>
          </cell>
          <cell r="R205">
            <v>1</v>
          </cell>
          <cell r="S205">
            <v>1</v>
          </cell>
          <cell r="T205">
            <v>1</v>
          </cell>
          <cell r="U205">
            <v>1</v>
          </cell>
          <cell r="V205">
            <v>0</v>
          </cell>
          <cell r="W205">
            <v>0</v>
          </cell>
          <cell r="X205">
            <v>0</v>
          </cell>
          <cell r="Y205">
            <v>1</v>
          </cell>
        </row>
      </sheetData>
      <sheetData sheetId="82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1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1</v>
          </cell>
          <cell r="O205">
            <v>1</v>
          </cell>
          <cell r="P205">
            <v>1</v>
          </cell>
          <cell r="Q205">
            <v>4</v>
          </cell>
          <cell r="R205">
            <v>2</v>
          </cell>
          <cell r="S205">
            <v>1</v>
          </cell>
          <cell r="T205">
            <v>2</v>
          </cell>
          <cell r="U205">
            <v>3</v>
          </cell>
          <cell r="V205">
            <v>0</v>
          </cell>
          <cell r="W205">
            <v>1</v>
          </cell>
          <cell r="X205">
            <v>1</v>
          </cell>
          <cell r="Y205">
            <v>0</v>
          </cell>
        </row>
      </sheetData>
      <sheetData sheetId="83"/>
      <sheetData sheetId="84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6</v>
          </cell>
        </row>
        <row r="67">
          <cell r="H67">
            <v>10</v>
          </cell>
        </row>
        <row r="205">
          <cell r="F205">
            <v>6</v>
          </cell>
          <cell r="G205">
            <v>4</v>
          </cell>
          <cell r="H205">
            <v>4</v>
          </cell>
          <cell r="I205">
            <v>11</v>
          </cell>
          <cell r="J205">
            <v>10</v>
          </cell>
          <cell r="K205">
            <v>12</v>
          </cell>
          <cell r="L205">
            <v>8</v>
          </cell>
          <cell r="M205">
            <v>4</v>
          </cell>
          <cell r="N205">
            <v>8</v>
          </cell>
          <cell r="O205">
            <v>7</v>
          </cell>
          <cell r="P205">
            <v>6</v>
          </cell>
          <cell r="Q205">
            <v>7</v>
          </cell>
          <cell r="R205">
            <v>14</v>
          </cell>
          <cell r="S205">
            <v>5</v>
          </cell>
          <cell r="T205">
            <v>12</v>
          </cell>
          <cell r="U205">
            <v>10</v>
          </cell>
          <cell r="V205">
            <v>5</v>
          </cell>
          <cell r="W205">
            <v>5</v>
          </cell>
          <cell r="X205">
            <v>11</v>
          </cell>
          <cell r="Y205">
            <v>9</v>
          </cell>
        </row>
      </sheetData>
      <sheetData sheetId="85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86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87"/>
      <sheetData sheetId="88">
        <row r="23">
          <cell r="J23">
            <v>0</v>
          </cell>
          <cell r="K23">
            <v>0</v>
          </cell>
          <cell r="L23">
            <v>1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14</v>
          </cell>
        </row>
        <row r="67">
          <cell r="H67">
            <v>16</v>
          </cell>
        </row>
        <row r="205">
          <cell r="F205">
            <v>11</v>
          </cell>
          <cell r="G205">
            <v>8</v>
          </cell>
          <cell r="H205">
            <v>9</v>
          </cell>
          <cell r="I205">
            <v>3</v>
          </cell>
          <cell r="J205">
            <v>5</v>
          </cell>
          <cell r="K205">
            <v>7</v>
          </cell>
          <cell r="L205">
            <v>5</v>
          </cell>
          <cell r="M205">
            <v>5</v>
          </cell>
          <cell r="N205">
            <v>8</v>
          </cell>
          <cell r="O205">
            <v>5</v>
          </cell>
          <cell r="P205">
            <v>9</v>
          </cell>
          <cell r="Q205">
            <v>8</v>
          </cell>
          <cell r="R205">
            <v>3</v>
          </cell>
          <cell r="S205">
            <v>9</v>
          </cell>
          <cell r="T205">
            <v>3</v>
          </cell>
          <cell r="U205">
            <v>8</v>
          </cell>
          <cell r="V205">
            <v>7</v>
          </cell>
          <cell r="W205">
            <v>7</v>
          </cell>
          <cell r="X205">
            <v>2</v>
          </cell>
          <cell r="Y205">
            <v>7</v>
          </cell>
        </row>
      </sheetData>
      <sheetData sheetId="89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1</v>
          </cell>
          <cell r="I205">
            <v>0</v>
          </cell>
          <cell r="J205">
            <v>0</v>
          </cell>
          <cell r="K205">
            <v>1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2</v>
          </cell>
          <cell r="R205">
            <v>0</v>
          </cell>
          <cell r="S205">
            <v>2</v>
          </cell>
          <cell r="T205">
            <v>1</v>
          </cell>
          <cell r="U205">
            <v>0</v>
          </cell>
          <cell r="V205">
            <v>0</v>
          </cell>
          <cell r="W205">
            <v>1</v>
          </cell>
          <cell r="X205">
            <v>0</v>
          </cell>
          <cell r="Y205">
            <v>0</v>
          </cell>
        </row>
      </sheetData>
      <sheetData sheetId="90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1</v>
          </cell>
          <cell r="J205">
            <v>1</v>
          </cell>
          <cell r="K205">
            <v>0</v>
          </cell>
          <cell r="L205">
            <v>2</v>
          </cell>
          <cell r="M205">
            <v>3</v>
          </cell>
          <cell r="N205">
            <v>1</v>
          </cell>
          <cell r="O205">
            <v>1</v>
          </cell>
          <cell r="P205">
            <v>1</v>
          </cell>
          <cell r="Q205">
            <v>4</v>
          </cell>
          <cell r="R205">
            <v>2</v>
          </cell>
          <cell r="S205">
            <v>1</v>
          </cell>
          <cell r="T205">
            <v>0</v>
          </cell>
          <cell r="U205">
            <v>1</v>
          </cell>
          <cell r="V205">
            <v>2</v>
          </cell>
          <cell r="W205">
            <v>1</v>
          </cell>
          <cell r="X205">
            <v>1</v>
          </cell>
          <cell r="Y205">
            <v>6</v>
          </cell>
        </row>
      </sheetData>
      <sheetData sheetId="91"/>
      <sheetData sheetId="92">
        <row r="23">
          <cell r="J23">
            <v>0</v>
          </cell>
          <cell r="K23">
            <v>0</v>
          </cell>
          <cell r="L23">
            <v>0</v>
          </cell>
          <cell r="M23">
            <v>1</v>
          </cell>
        </row>
        <row r="26">
          <cell r="J26">
            <v>0</v>
          </cell>
          <cell r="K26">
            <v>1</v>
          </cell>
          <cell r="L26">
            <v>4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6</v>
          </cell>
        </row>
        <row r="67">
          <cell r="H67">
            <v>18</v>
          </cell>
        </row>
        <row r="205">
          <cell r="F205">
            <v>8</v>
          </cell>
          <cell r="G205">
            <v>6</v>
          </cell>
          <cell r="H205">
            <v>7</v>
          </cell>
          <cell r="I205">
            <v>14</v>
          </cell>
          <cell r="J205">
            <v>8</v>
          </cell>
          <cell r="K205">
            <v>6</v>
          </cell>
          <cell r="L205">
            <v>11</v>
          </cell>
          <cell r="M205">
            <v>6</v>
          </cell>
          <cell r="N205">
            <v>7</v>
          </cell>
          <cell r="O205">
            <v>8</v>
          </cell>
          <cell r="P205">
            <v>5</v>
          </cell>
          <cell r="Q205">
            <v>8</v>
          </cell>
          <cell r="R205">
            <v>13</v>
          </cell>
          <cell r="S205">
            <v>6</v>
          </cell>
          <cell r="T205">
            <v>8</v>
          </cell>
          <cell r="U205">
            <v>8</v>
          </cell>
          <cell r="V205">
            <v>5</v>
          </cell>
          <cell r="W205">
            <v>9</v>
          </cell>
          <cell r="X205">
            <v>11</v>
          </cell>
          <cell r="Y205">
            <v>8</v>
          </cell>
        </row>
      </sheetData>
      <sheetData sheetId="93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94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95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96"/>
      <sheetData sheetId="97"/>
      <sheetData sheetId="98"/>
      <sheetData sheetId="99">
        <row r="23">
          <cell r="J23">
            <v>0</v>
          </cell>
          <cell r="K23">
            <v>0</v>
          </cell>
          <cell r="L23">
            <v>1</v>
          </cell>
          <cell r="M23">
            <v>5</v>
          </cell>
        </row>
        <row r="26">
          <cell r="J26">
            <v>0</v>
          </cell>
          <cell r="K26">
            <v>0</v>
          </cell>
          <cell r="L26">
            <v>3</v>
          </cell>
          <cell r="M26">
            <v>4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1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61</v>
          </cell>
        </row>
        <row r="67">
          <cell r="H67">
            <v>88</v>
          </cell>
        </row>
        <row r="205">
          <cell r="F205">
            <v>26</v>
          </cell>
          <cell r="G205">
            <v>30</v>
          </cell>
          <cell r="H205">
            <v>16</v>
          </cell>
          <cell r="I205">
            <v>32</v>
          </cell>
          <cell r="J205">
            <v>26</v>
          </cell>
          <cell r="K205">
            <v>21</v>
          </cell>
          <cell r="L205">
            <v>27</v>
          </cell>
          <cell r="M205">
            <v>26</v>
          </cell>
          <cell r="N205">
            <v>34</v>
          </cell>
          <cell r="O205">
            <v>25</v>
          </cell>
          <cell r="P205">
            <v>28</v>
          </cell>
          <cell r="Q205">
            <v>31</v>
          </cell>
          <cell r="R205">
            <v>45</v>
          </cell>
          <cell r="S205">
            <v>43</v>
          </cell>
          <cell r="T205">
            <v>32</v>
          </cell>
          <cell r="U205">
            <v>34</v>
          </cell>
          <cell r="V205">
            <v>30</v>
          </cell>
          <cell r="W205">
            <v>40</v>
          </cell>
          <cell r="X205">
            <v>32</v>
          </cell>
          <cell r="Y205">
            <v>34</v>
          </cell>
        </row>
      </sheetData>
      <sheetData sheetId="100">
        <row r="23">
          <cell r="J23">
            <v>0</v>
          </cell>
          <cell r="K23">
            <v>0</v>
          </cell>
          <cell r="L23">
            <v>2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2</v>
          </cell>
        </row>
        <row r="67">
          <cell r="H67">
            <v>7</v>
          </cell>
        </row>
        <row r="205">
          <cell r="F205">
            <v>6</v>
          </cell>
          <cell r="G205">
            <v>6</v>
          </cell>
          <cell r="H205">
            <v>4</v>
          </cell>
          <cell r="I205">
            <v>5</v>
          </cell>
          <cell r="J205">
            <v>5</v>
          </cell>
          <cell r="K205">
            <v>5</v>
          </cell>
          <cell r="L205">
            <v>3</v>
          </cell>
          <cell r="M205">
            <v>4</v>
          </cell>
          <cell r="N205">
            <v>2</v>
          </cell>
          <cell r="O205">
            <v>4</v>
          </cell>
          <cell r="P205">
            <v>4</v>
          </cell>
          <cell r="Q205">
            <v>6</v>
          </cell>
          <cell r="R205">
            <v>9</v>
          </cell>
          <cell r="S205">
            <v>6</v>
          </cell>
          <cell r="T205">
            <v>8</v>
          </cell>
          <cell r="U205">
            <v>9</v>
          </cell>
          <cell r="V205">
            <v>3</v>
          </cell>
          <cell r="W205">
            <v>10</v>
          </cell>
          <cell r="X205">
            <v>12</v>
          </cell>
          <cell r="Y205">
            <v>7</v>
          </cell>
        </row>
      </sheetData>
      <sheetData sheetId="101"/>
      <sheetData sheetId="102">
        <row r="23">
          <cell r="J23">
            <v>0</v>
          </cell>
          <cell r="K23">
            <v>0</v>
          </cell>
          <cell r="L23">
            <v>6</v>
          </cell>
          <cell r="M23">
            <v>2</v>
          </cell>
        </row>
        <row r="26">
          <cell r="J26">
            <v>0</v>
          </cell>
          <cell r="K26">
            <v>0</v>
          </cell>
          <cell r="L26">
            <v>3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1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1</v>
          </cell>
          <cell r="M40">
            <v>0</v>
          </cell>
        </row>
        <row r="61">
          <cell r="H61">
            <v>31</v>
          </cell>
        </row>
        <row r="67">
          <cell r="H67">
            <v>51</v>
          </cell>
        </row>
        <row r="205">
          <cell r="F205">
            <v>35</v>
          </cell>
          <cell r="G205">
            <v>34</v>
          </cell>
          <cell r="H205">
            <v>37</v>
          </cell>
          <cell r="I205">
            <v>33</v>
          </cell>
          <cell r="J205">
            <v>30</v>
          </cell>
          <cell r="K205">
            <v>38</v>
          </cell>
          <cell r="L205">
            <v>19</v>
          </cell>
          <cell r="M205">
            <v>10</v>
          </cell>
          <cell r="N205">
            <v>14</v>
          </cell>
          <cell r="O205">
            <v>17</v>
          </cell>
          <cell r="P205">
            <v>23</v>
          </cell>
          <cell r="Q205">
            <v>27</v>
          </cell>
          <cell r="R205">
            <v>27</v>
          </cell>
          <cell r="S205">
            <v>38</v>
          </cell>
          <cell r="T205">
            <v>21</v>
          </cell>
          <cell r="U205">
            <v>28</v>
          </cell>
          <cell r="V205">
            <v>22</v>
          </cell>
          <cell r="W205">
            <v>21</v>
          </cell>
          <cell r="X205">
            <v>26</v>
          </cell>
          <cell r="Y205">
            <v>16</v>
          </cell>
        </row>
      </sheetData>
      <sheetData sheetId="103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2</v>
          </cell>
        </row>
        <row r="67">
          <cell r="H67">
            <v>7</v>
          </cell>
        </row>
        <row r="205">
          <cell r="F205">
            <v>1</v>
          </cell>
          <cell r="G205">
            <v>4</v>
          </cell>
          <cell r="H205">
            <v>4</v>
          </cell>
          <cell r="I205">
            <v>3</v>
          </cell>
          <cell r="J205">
            <v>3</v>
          </cell>
          <cell r="K205">
            <v>3</v>
          </cell>
          <cell r="L205">
            <v>4</v>
          </cell>
          <cell r="M205">
            <v>6</v>
          </cell>
          <cell r="N205">
            <v>2</v>
          </cell>
          <cell r="O205">
            <v>8</v>
          </cell>
          <cell r="P205">
            <v>7</v>
          </cell>
          <cell r="Q205">
            <v>7</v>
          </cell>
          <cell r="R205">
            <v>1</v>
          </cell>
          <cell r="S205">
            <v>1</v>
          </cell>
          <cell r="T205">
            <v>4</v>
          </cell>
          <cell r="U205">
            <v>5</v>
          </cell>
          <cell r="V205">
            <v>4</v>
          </cell>
          <cell r="W205">
            <v>4</v>
          </cell>
          <cell r="X205">
            <v>3</v>
          </cell>
          <cell r="Y205">
            <v>7</v>
          </cell>
        </row>
      </sheetData>
      <sheetData sheetId="104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</v>
          </cell>
        </row>
        <row r="67">
          <cell r="H67">
            <v>1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105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2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106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2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107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108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109"/>
      <sheetData sheetId="110">
        <row r="23">
          <cell r="J23">
            <v>0</v>
          </cell>
          <cell r="K23">
            <v>2</v>
          </cell>
          <cell r="L23">
            <v>12</v>
          </cell>
          <cell r="M23">
            <v>4</v>
          </cell>
        </row>
        <row r="26">
          <cell r="J26">
            <v>0</v>
          </cell>
          <cell r="K26">
            <v>0</v>
          </cell>
          <cell r="L26">
            <v>4</v>
          </cell>
          <cell r="M26">
            <v>2</v>
          </cell>
        </row>
        <row r="28">
          <cell r="J28">
            <v>0</v>
          </cell>
          <cell r="K28">
            <v>1</v>
          </cell>
          <cell r="L28">
            <v>1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27</v>
          </cell>
        </row>
        <row r="67">
          <cell r="H67">
            <v>48</v>
          </cell>
        </row>
        <row r="205">
          <cell r="F205">
            <v>20</v>
          </cell>
          <cell r="G205">
            <v>41</v>
          </cell>
          <cell r="H205">
            <v>39</v>
          </cell>
          <cell r="I205">
            <v>42</v>
          </cell>
          <cell r="J205">
            <v>32</v>
          </cell>
          <cell r="K205">
            <v>33</v>
          </cell>
          <cell r="L205">
            <v>29</v>
          </cell>
          <cell r="M205">
            <v>29</v>
          </cell>
          <cell r="N205">
            <v>39</v>
          </cell>
          <cell r="O205">
            <v>26</v>
          </cell>
          <cell r="P205">
            <v>43</v>
          </cell>
          <cell r="Q205">
            <v>38</v>
          </cell>
          <cell r="R205">
            <v>32</v>
          </cell>
          <cell r="S205">
            <v>38</v>
          </cell>
          <cell r="T205">
            <v>47</v>
          </cell>
          <cell r="U205">
            <v>43</v>
          </cell>
          <cell r="V205">
            <v>23</v>
          </cell>
          <cell r="W205">
            <v>38</v>
          </cell>
          <cell r="X205">
            <v>31</v>
          </cell>
          <cell r="Y205">
            <v>34</v>
          </cell>
        </row>
      </sheetData>
      <sheetData sheetId="111">
        <row r="23">
          <cell r="J23">
            <v>1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3</v>
          </cell>
        </row>
        <row r="67">
          <cell r="H67">
            <v>5</v>
          </cell>
        </row>
        <row r="205">
          <cell r="F205">
            <v>3</v>
          </cell>
          <cell r="G205">
            <v>1</v>
          </cell>
          <cell r="H205">
            <v>1</v>
          </cell>
          <cell r="I205">
            <v>2</v>
          </cell>
          <cell r="J205">
            <v>4</v>
          </cell>
          <cell r="K205">
            <v>2</v>
          </cell>
          <cell r="L205">
            <v>7</v>
          </cell>
          <cell r="M205">
            <v>1</v>
          </cell>
          <cell r="N205">
            <v>3</v>
          </cell>
          <cell r="O205">
            <v>1</v>
          </cell>
          <cell r="P205">
            <v>3</v>
          </cell>
          <cell r="Q205">
            <v>4</v>
          </cell>
          <cell r="R205">
            <v>3</v>
          </cell>
          <cell r="S205">
            <v>0</v>
          </cell>
          <cell r="T205">
            <v>2</v>
          </cell>
          <cell r="U205">
            <v>4</v>
          </cell>
          <cell r="V205">
            <v>7</v>
          </cell>
          <cell r="W205">
            <v>8</v>
          </cell>
          <cell r="X205">
            <v>2</v>
          </cell>
          <cell r="Y205">
            <v>7</v>
          </cell>
        </row>
      </sheetData>
      <sheetData sheetId="112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1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2</v>
          </cell>
        </row>
        <row r="67">
          <cell r="H67">
            <v>3</v>
          </cell>
        </row>
        <row r="205">
          <cell r="F205">
            <v>1</v>
          </cell>
          <cell r="G205">
            <v>4</v>
          </cell>
          <cell r="H205">
            <v>5</v>
          </cell>
          <cell r="I205">
            <v>1</v>
          </cell>
          <cell r="J205">
            <v>3</v>
          </cell>
          <cell r="K205">
            <v>1</v>
          </cell>
          <cell r="L205">
            <v>0</v>
          </cell>
          <cell r="M205">
            <v>0</v>
          </cell>
          <cell r="N205">
            <v>1</v>
          </cell>
          <cell r="O205">
            <v>4</v>
          </cell>
          <cell r="P205">
            <v>4</v>
          </cell>
          <cell r="Q205">
            <v>5</v>
          </cell>
          <cell r="R205">
            <v>6</v>
          </cell>
          <cell r="S205">
            <v>10</v>
          </cell>
          <cell r="T205">
            <v>3</v>
          </cell>
          <cell r="U205">
            <v>2</v>
          </cell>
          <cell r="V205">
            <v>7</v>
          </cell>
          <cell r="W205">
            <v>1</v>
          </cell>
          <cell r="X205">
            <v>0</v>
          </cell>
          <cell r="Y205">
            <v>6</v>
          </cell>
        </row>
      </sheetData>
      <sheetData sheetId="113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</v>
          </cell>
        </row>
        <row r="67">
          <cell r="H67">
            <v>2</v>
          </cell>
        </row>
        <row r="205">
          <cell r="F205">
            <v>2</v>
          </cell>
          <cell r="G205">
            <v>0</v>
          </cell>
          <cell r="H205">
            <v>6</v>
          </cell>
          <cell r="I205">
            <v>0</v>
          </cell>
          <cell r="J205">
            <v>6</v>
          </cell>
          <cell r="K205">
            <v>3</v>
          </cell>
          <cell r="L205">
            <v>1</v>
          </cell>
          <cell r="M205">
            <v>0</v>
          </cell>
          <cell r="N205">
            <v>0</v>
          </cell>
          <cell r="O205">
            <v>0</v>
          </cell>
          <cell r="P205">
            <v>1</v>
          </cell>
          <cell r="Q205">
            <v>4</v>
          </cell>
          <cell r="R205">
            <v>2</v>
          </cell>
          <cell r="S205">
            <v>5</v>
          </cell>
          <cell r="T205">
            <v>1</v>
          </cell>
          <cell r="U205">
            <v>4</v>
          </cell>
          <cell r="V205">
            <v>0</v>
          </cell>
          <cell r="W205">
            <v>4</v>
          </cell>
          <cell r="X205">
            <v>8</v>
          </cell>
          <cell r="Y205">
            <v>3</v>
          </cell>
        </row>
      </sheetData>
      <sheetData sheetId="114">
        <row r="23">
          <cell r="J23">
            <v>0</v>
          </cell>
          <cell r="K23">
            <v>0</v>
          </cell>
          <cell r="L23">
            <v>1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1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</v>
          </cell>
        </row>
        <row r="67">
          <cell r="H67">
            <v>0</v>
          </cell>
        </row>
        <row r="205">
          <cell r="F205">
            <v>1</v>
          </cell>
          <cell r="G205">
            <v>0</v>
          </cell>
          <cell r="H205">
            <v>3</v>
          </cell>
          <cell r="I205">
            <v>8</v>
          </cell>
          <cell r="J205">
            <v>1</v>
          </cell>
          <cell r="K205">
            <v>0</v>
          </cell>
          <cell r="L205">
            <v>2</v>
          </cell>
          <cell r="M205">
            <v>0</v>
          </cell>
          <cell r="N205">
            <v>0</v>
          </cell>
          <cell r="O205">
            <v>0</v>
          </cell>
          <cell r="P205">
            <v>2</v>
          </cell>
          <cell r="Q205">
            <v>1</v>
          </cell>
          <cell r="R205">
            <v>2</v>
          </cell>
          <cell r="S205">
            <v>4</v>
          </cell>
          <cell r="T205">
            <v>2</v>
          </cell>
          <cell r="U205">
            <v>1</v>
          </cell>
          <cell r="V205">
            <v>1</v>
          </cell>
          <cell r="W205">
            <v>8</v>
          </cell>
          <cell r="X205">
            <v>8</v>
          </cell>
          <cell r="Y205">
            <v>7</v>
          </cell>
        </row>
      </sheetData>
      <sheetData sheetId="115">
        <row r="23">
          <cell r="J23">
            <v>1</v>
          </cell>
          <cell r="K23">
            <v>0</v>
          </cell>
          <cell r="L23">
            <v>1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1</v>
          </cell>
        </row>
        <row r="28">
          <cell r="J28">
            <v>0</v>
          </cell>
          <cell r="K28">
            <v>0</v>
          </cell>
          <cell r="L28">
            <v>1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10</v>
          </cell>
        </row>
        <row r="67">
          <cell r="H67">
            <v>16</v>
          </cell>
        </row>
        <row r="205">
          <cell r="F205">
            <v>10</v>
          </cell>
          <cell r="G205">
            <v>8</v>
          </cell>
          <cell r="H205">
            <v>5</v>
          </cell>
          <cell r="I205">
            <v>4</v>
          </cell>
          <cell r="J205">
            <v>7</v>
          </cell>
          <cell r="K205">
            <v>10</v>
          </cell>
          <cell r="L205">
            <v>4</v>
          </cell>
          <cell r="M205">
            <v>6</v>
          </cell>
          <cell r="N205">
            <v>14</v>
          </cell>
          <cell r="O205">
            <v>10</v>
          </cell>
          <cell r="P205">
            <v>11</v>
          </cell>
          <cell r="Q205">
            <v>7</v>
          </cell>
          <cell r="R205">
            <v>14</v>
          </cell>
          <cell r="S205">
            <v>24</v>
          </cell>
          <cell r="T205">
            <v>10</v>
          </cell>
          <cell r="U205">
            <v>18</v>
          </cell>
          <cell r="V205">
            <v>13</v>
          </cell>
          <cell r="W205">
            <v>14</v>
          </cell>
          <cell r="X205">
            <v>12</v>
          </cell>
          <cell r="Y205">
            <v>11</v>
          </cell>
        </row>
      </sheetData>
      <sheetData sheetId="116"/>
      <sheetData sheetId="117">
        <row r="23">
          <cell r="J23">
            <v>0</v>
          </cell>
          <cell r="K23">
            <v>0</v>
          </cell>
          <cell r="L23">
            <v>3</v>
          </cell>
          <cell r="M23">
            <v>3</v>
          </cell>
        </row>
        <row r="26">
          <cell r="J26">
            <v>0</v>
          </cell>
          <cell r="K26">
            <v>0</v>
          </cell>
          <cell r="L26">
            <v>4</v>
          </cell>
          <cell r="M26">
            <v>5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21</v>
          </cell>
        </row>
        <row r="67">
          <cell r="H67">
            <v>37</v>
          </cell>
        </row>
        <row r="205">
          <cell r="F205">
            <v>10</v>
          </cell>
          <cell r="G205">
            <v>12</v>
          </cell>
          <cell r="H205">
            <v>18</v>
          </cell>
          <cell r="I205">
            <v>11</v>
          </cell>
          <cell r="J205">
            <v>6</v>
          </cell>
          <cell r="K205">
            <v>9</v>
          </cell>
          <cell r="L205">
            <v>8</v>
          </cell>
          <cell r="M205">
            <v>14</v>
          </cell>
          <cell r="N205">
            <v>11</v>
          </cell>
          <cell r="O205">
            <v>10</v>
          </cell>
          <cell r="P205">
            <v>9</v>
          </cell>
          <cell r="Q205">
            <v>6</v>
          </cell>
          <cell r="R205">
            <v>27</v>
          </cell>
          <cell r="S205">
            <v>27</v>
          </cell>
          <cell r="T205">
            <v>8</v>
          </cell>
          <cell r="U205">
            <v>7</v>
          </cell>
          <cell r="V205">
            <v>8</v>
          </cell>
          <cell r="W205">
            <v>12</v>
          </cell>
          <cell r="X205">
            <v>7</v>
          </cell>
          <cell r="Y205">
            <v>12</v>
          </cell>
        </row>
      </sheetData>
      <sheetData sheetId="118">
        <row r="23">
          <cell r="J23">
            <v>0</v>
          </cell>
          <cell r="K23">
            <v>0</v>
          </cell>
          <cell r="L23">
            <v>0</v>
          </cell>
          <cell r="M23">
            <v>1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1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4</v>
          </cell>
        </row>
        <row r="67">
          <cell r="H67">
            <v>7</v>
          </cell>
        </row>
        <row r="205">
          <cell r="F205">
            <v>3</v>
          </cell>
          <cell r="G205">
            <v>6</v>
          </cell>
          <cell r="H205">
            <v>5</v>
          </cell>
          <cell r="I205">
            <v>6</v>
          </cell>
          <cell r="J205">
            <v>6</v>
          </cell>
          <cell r="K205">
            <v>3</v>
          </cell>
          <cell r="L205">
            <v>5</v>
          </cell>
          <cell r="M205">
            <v>8</v>
          </cell>
          <cell r="N205">
            <v>9</v>
          </cell>
          <cell r="O205">
            <v>2</v>
          </cell>
          <cell r="P205">
            <v>6</v>
          </cell>
          <cell r="Q205">
            <v>6</v>
          </cell>
          <cell r="R205">
            <v>5</v>
          </cell>
          <cell r="S205">
            <v>9</v>
          </cell>
          <cell r="T205">
            <v>4</v>
          </cell>
          <cell r="U205">
            <v>5</v>
          </cell>
          <cell r="V205">
            <v>7</v>
          </cell>
          <cell r="W205">
            <v>6</v>
          </cell>
          <cell r="X205">
            <v>12</v>
          </cell>
          <cell r="Y205">
            <v>11</v>
          </cell>
        </row>
      </sheetData>
      <sheetData sheetId="119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120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</v>
          </cell>
        </row>
        <row r="67">
          <cell r="H67">
            <v>1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121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1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3</v>
          </cell>
        </row>
        <row r="67">
          <cell r="H67">
            <v>4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122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123"/>
      <sheetData sheetId="124">
        <row r="23">
          <cell r="J23">
            <v>0</v>
          </cell>
          <cell r="K23">
            <v>0</v>
          </cell>
          <cell r="L23">
            <v>2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1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14</v>
          </cell>
        </row>
        <row r="67">
          <cell r="H67">
            <v>19</v>
          </cell>
        </row>
        <row r="205">
          <cell r="F205">
            <v>4</v>
          </cell>
          <cell r="G205">
            <v>8</v>
          </cell>
          <cell r="H205">
            <v>13</v>
          </cell>
          <cell r="I205">
            <v>12</v>
          </cell>
          <cell r="J205">
            <v>7</v>
          </cell>
          <cell r="K205">
            <v>4</v>
          </cell>
          <cell r="L205">
            <v>11</v>
          </cell>
          <cell r="M205">
            <v>12</v>
          </cell>
          <cell r="N205">
            <v>8</v>
          </cell>
          <cell r="O205">
            <v>11</v>
          </cell>
          <cell r="P205">
            <v>8</v>
          </cell>
          <cell r="Q205">
            <v>11</v>
          </cell>
          <cell r="R205">
            <v>14</v>
          </cell>
          <cell r="S205">
            <v>10</v>
          </cell>
          <cell r="T205">
            <v>10</v>
          </cell>
          <cell r="U205">
            <v>8</v>
          </cell>
          <cell r="V205">
            <v>7</v>
          </cell>
          <cell r="W205">
            <v>7</v>
          </cell>
          <cell r="X205">
            <v>4</v>
          </cell>
          <cell r="Y205">
            <v>10</v>
          </cell>
        </row>
      </sheetData>
      <sheetData sheetId="125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126"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0</v>
          </cell>
        </row>
        <row r="67">
          <cell r="H67">
            <v>0</v>
          </cell>
        </row>
        <row r="205"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</row>
      </sheetData>
      <sheetData sheetId="127"/>
      <sheetData sheetId="128">
        <row r="23">
          <cell r="J23">
            <v>0</v>
          </cell>
          <cell r="K23">
            <v>0</v>
          </cell>
          <cell r="L23">
            <v>4</v>
          </cell>
          <cell r="M23">
            <v>5</v>
          </cell>
        </row>
        <row r="26">
          <cell r="J26">
            <v>0</v>
          </cell>
          <cell r="K26">
            <v>0</v>
          </cell>
          <cell r="L26">
            <v>2</v>
          </cell>
          <cell r="M26">
            <v>1</v>
          </cell>
        </row>
        <row r="28">
          <cell r="J28">
            <v>0</v>
          </cell>
          <cell r="K28">
            <v>0</v>
          </cell>
          <cell r="L28">
            <v>1</v>
          </cell>
          <cell r="M28">
            <v>2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25</v>
          </cell>
        </row>
        <row r="67">
          <cell r="H67">
            <v>40</v>
          </cell>
        </row>
        <row r="205">
          <cell r="F205">
            <v>20</v>
          </cell>
          <cell r="G205">
            <v>6</v>
          </cell>
          <cell r="H205">
            <v>14</v>
          </cell>
          <cell r="I205">
            <v>11</v>
          </cell>
          <cell r="J205">
            <v>8</v>
          </cell>
          <cell r="K205">
            <v>12</v>
          </cell>
          <cell r="L205">
            <v>12</v>
          </cell>
          <cell r="M205">
            <v>8</v>
          </cell>
          <cell r="N205">
            <v>10</v>
          </cell>
          <cell r="O205">
            <v>13</v>
          </cell>
          <cell r="P205">
            <v>5</v>
          </cell>
          <cell r="Q205">
            <v>7</v>
          </cell>
          <cell r="R205">
            <v>17</v>
          </cell>
          <cell r="S205">
            <v>13</v>
          </cell>
          <cell r="T205">
            <v>8</v>
          </cell>
          <cell r="U205">
            <v>4</v>
          </cell>
          <cell r="V205">
            <v>8</v>
          </cell>
          <cell r="W205">
            <v>10</v>
          </cell>
          <cell r="X205">
            <v>7</v>
          </cell>
          <cell r="Y205">
            <v>11</v>
          </cell>
        </row>
      </sheetData>
      <sheetData sheetId="129">
        <row r="23">
          <cell r="J23">
            <v>0</v>
          </cell>
          <cell r="K23">
            <v>0</v>
          </cell>
          <cell r="L23">
            <v>2</v>
          </cell>
          <cell r="M23">
            <v>2</v>
          </cell>
        </row>
        <row r="26">
          <cell r="J26">
            <v>0</v>
          </cell>
          <cell r="K26">
            <v>1</v>
          </cell>
          <cell r="L26">
            <v>1</v>
          </cell>
          <cell r="M26">
            <v>2</v>
          </cell>
        </row>
        <row r="28">
          <cell r="J28">
            <v>0</v>
          </cell>
          <cell r="K28">
            <v>0</v>
          </cell>
          <cell r="L28">
            <v>1</v>
          </cell>
          <cell r="M28">
            <v>1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61">
          <cell r="H61">
            <v>9</v>
          </cell>
        </row>
        <row r="67">
          <cell r="H67">
            <v>13</v>
          </cell>
        </row>
        <row r="205">
          <cell r="F205">
            <v>10</v>
          </cell>
          <cell r="G205">
            <v>5</v>
          </cell>
          <cell r="H205">
            <v>4</v>
          </cell>
          <cell r="I205">
            <v>3</v>
          </cell>
          <cell r="J205">
            <v>6</v>
          </cell>
          <cell r="K205">
            <v>3</v>
          </cell>
          <cell r="L205">
            <v>5</v>
          </cell>
          <cell r="M205">
            <v>6</v>
          </cell>
          <cell r="N205">
            <v>4</v>
          </cell>
          <cell r="O205">
            <v>5</v>
          </cell>
          <cell r="P205">
            <v>3</v>
          </cell>
          <cell r="Q205">
            <v>8</v>
          </cell>
          <cell r="R205">
            <v>11</v>
          </cell>
          <cell r="S205">
            <v>6</v>
          </cell>
          <cell r="T205">
            <v>4</v>
          </cell>
          <cell r="U205">
            <v>4</v>
          </cell>
          <cell r="V205">
            <v>12</v>
          </cell>
          <cell r="W205">
            <v>4</v>
          </cell>
          <cell r="X205">
            <v>3</v>
          </cell>
          <cell r="Y205">
            <v>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010"/>
      <sheetName val="117011"/>
      <sheetName val="117101"/>
      <sheetName val="117301"/>
      <sheetName val="117701"/>
      <sheetName val="117302"/>
      <sheetName val="117702"/>
      <sheetName val="117799"/>
      <sheetName val="117405"/>
      <sheetName val="117303"/>
      <sheetName val="117410"/>
      <sheetName val="117304"/>
      <sheetName val="200261"/>
      <sheetName val="117322"/>
      <sheetName val="117324"/>
      <sheetName val="117330"/>
      <sheetName val="117601"/>
      <sheetName val="200558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09"/>
      <sheetName val="11746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102"/>
      <sheetName val="117329"/>
      <sheetName val="117729"/>
      <sheetName val="117602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2">
          <cell r="J22">
            <v>0</v>
          </cell>
          <cell r="K22">
            <v>0</v>
          </cell>
          <cell r="L22">
            <v>0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8">
        <row r="22">
          <cell r="J22">
            <v>0</v>
          </cell>
          <cell r="K22">
            <v>0</v>
          </cell>
          <cell r="L22">
            <v>2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9">
        <row r="22">
          <cell r="J22">
            <v>0</v>
          </cell>
          <cell r="K22">
            <v>0</v>
          </cell>
          <cell r="L22">
            <v>0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0"/>
      <sheetData sheetId="21"/>
      <sheetData sheetId="22"/>
      <sheetData sheetId="23"/>
      <sheetData sheetId="24">
        <row r="22">
          <cell r="J22">
            <v>0</v>
          </cell>
          <cell r="K22">
            <v>0</v>
          </cell>
          <cell r="L22">
            <v>0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6"/>
      <sheetData sheetId="2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1"/>
      <sheetData sheetId="32"/>
      <sheetData sheetId="3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3"/>
      <sheetData sheetId="44">
        <row r="22">
          <cell r="J22">
            <v>0</v>
          </cell>
          <cell r="K22">
            <v>0</v>
          </cell>
          <cell r="L22">
            <v>1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1</v>
          </cell>
          <cell r="M39">
            <v>0</v>
          </cell>
        </row>
      </sheetData>
      <sheetData sheetId="4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7"/>
      <sheetData sheetId="48">
        <row r="22">
          <cell r="J22">
            <v>0</v>
          </cell>
          <cell r="K22">
            <v>1</v>
          </cell>
          <cell r="L22">
            <v>1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1"/>
      <sheetData sheetId="52">
        <row r="22">
          <cell r="J22">
            <v>2</v>
          </cell>
          <cell r="K22">
            <v>0</v>
          </cell>
          <cell r="L22">
            <v>1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7"/>
      <sheetData sheetId="5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2"/>
      <sheetData sheetId="63"/>
      <sheetData sheetId="6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6"/>
      <sheetData sheetId="67"/>
      <sheetData sheetId="68"/>
      <sheetData sheetId="6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0"/>
      <sheetData sheetId="7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4"/>
      <sheetData sheetId="75"/>
      <sheetData sheetId="7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9"/>
      <sheetData sheetId="8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3"/>
      <sheetData sheetId="8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7"/>
      <sheetData sheetId="8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1"/>
      <sheetData sheetId="9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6"/>
      <sheetData sheetId="97"/>
      <sheetData sheetId="98"/>
      <sheetData sheetId="9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1"/>
      <sheetData sheetId="10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9"/>
      <sheetData sheetId="11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6"/>
      <sheetData sheetId="117">
        <row r="22">
          <cell r="J22">
            <v>0</v>
          </cell>
          <cell r="K22">
            <v>0</v>
          </cell>
          <cell r="L22">
            <v>2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1">
        <row r="22">
          <cell r="J22">
            <v>0</v>
          </cell>
          <cell r="K22">
            <v>0</v>
          </cell>
          <cell r="L22">
            <v>0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3"/>
      <sheetData sheetId="12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7"/>
      <sheetData sheetId="12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9">
        <row r="22">
          <cell r="J22">
            <v>0</v>
          </cell>
          <cell r="K22">
            <v>1</v>
          </cell>
          <cell r="L22">
            <v>1</v>
          </cell>
          <cell r="M22">
            <v>2</v>
          </cell>
        </row>
        <row r="39">
          <cell r="J39">
            <v>0</v>
          </cell>
          <cell r="K39">
            <v>0</v>
          </cell>
          <cell r="L39">
            <v>1</v>
          </cell>
          <cell r="M39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010"/>
      <sheetName val="117011"/>
      <sheetName val="117101"/>
      <sheetName val="117301"/>
      <sheetName val="117701"/>
      <sheetName val="117302"/>
      <sheetName val="117702"/>
      <sheetName val="117799"/>
      <sheetName val="117405"/>
      <sheetName val="117303"/>
      <sheetName val="117410"/>
      <sheetName val="117304"/>
      <sheetName val="200261"/>
      <sheetName val="117322"/>
      <sheetName val="117324"/>
      <sheetName val="117330"/>
      <sheetName val="117601"/>
      <sheetName val="200558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09"/>
      <sheetName val="11746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102"/>
      <sheetName val="117329"/>
      <sheetName val="117729"/>
      <sheetName val="117602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3">
        <row r="22">
          <cell r="J22">
            <v>0</v>
          </cell>
          <cell r="K22">
            <v>0</v>
          </cell>
          <cell r="L22">
            <v>1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1</v>
          </cell>
          <cell r="M39">
            <v>0</v>
          </cell>
        </row>
      </sheetData>
      <sheetData sheetId="1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8">
        <row r="22">
          <cell r="J22">
            <v>0</v>
          </cell>
          <cell r="K22">
            <v>0</v>
          </cell>
          <cell r="L22">
            <v>1</v>
          </cell>
          <cell r="M22">
            <v>2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0"/>
      <sheetData sheetId="21"/>
      <sheetData sheetId="22"/>
      <sheetData sheetId="23"/>
      <sheetData sheetId="2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5">
        <row r="22">
          <cell r="J22">
            <v>0</v>
          </cell>
          <cell r="K22">
            <v>0</v>
          </cell>
          <cell r="L22">
            <v>1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6"/>
      <sheetData sheetId="2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0">
        <row r="22">
          <cell r="J22">
            <v>0</v>
          </cell>
          <cell r="K22">
            <v>0</v>
          </cell>
          <cell r="L22">
            <v>0</v>
          </cell>
          <cell r="M22">
            <v>2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1"/>
      <sheetData sheetId="32"/>
      <sheetData sheetId="3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3"/>
      <sheetData sheetId="4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7"/>
      <sheetData sheetId="48">
        <row r="22">
          <cell r="J22">
            <v>0</v>
          </cell>
          <cell r="K22">
            <v>0</v>
          </cell>
          <cell r="L22">
            <v>1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1"/>
      <sheetData sheetId="52">
        <row r="22">
          <cell r="J22">
            <v>0</v>
          </cell>
          <cell r="K22">
            <v>0</v>
          </cell>
          <cell r="L22">
            <v>1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7"/>
      <sheetData sheetId="58">
        <row r="22">
          <cell r="J22">
            <v>0</v>
          </cell>
          <cell r="K22">
            <v>0</v>
          </cell>
          <cell r="L22">
            <v>1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2"/>
      <sheetData sheetId="63"/>
      <sheetData sheetId="6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6"/>
      <sheetData sheetId="67"/>
      <sheetData sheetId="68"/>
      <sheetData sheetId="6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0"/>
      <sheetData sheetId="7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4"/>
      <sheetData sheetId="75"/>
      <sheetData sheetId="76">
        <row r="22">
          <cell r="J22">
            <v>0</v>
          </cell>
          <cell r="K22">
            <v>0</v>
          </cell>
          <cell r="L22">
            <v>1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9"/>
      <sheetData sheetId="8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3"/>
      <sheetData sheetId="8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7"/>
      <sheetData sheetId="8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1"/>
      <sheetData sheetId="9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6"/>
      <sheetData sheetId="97"/>
      <sheetData sheetId="98"/>
      <sheetData sheetId="99">
        <row r="22">
          <cell r="J22">
            <v>0</v>
          </cell>
          <cell r="K22">
            <v>0</v>
          </cell>
          <cell r="L22">
            <v>1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1"/>
      <sheetData sheetId="10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9"/>
      <sheetData sheetId="110">
        <row r="22">
          <cell r="J22">
            <v>1</v>
          </cell>
          <cell r="K22">
            <v>0</v>
          </cell>
          <cell r="L22">
            <v>2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6"/>
      <sheetData sheetId="117">
        <row r="22">
          <cell r="J22">
            <v>0</v>
          </cell>
          <cell r="K22">
            <v>0</v>
          </cell>
          <cell r="L22">
            <v>2</v>
          </cell>
          <cell r="M22">
            <v>2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3"/>
      <sheetData sheetId="12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7"/>
      <sheetData sheetId="128">
        <row r="22">
          <cell r="J22">
            <v>0</v>
          </cell>
          <cell r="K22">
            <v>0</v>
          </cell>
          <cell r="L22">
            <v>1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9">
        <row r="22">
          <cell r="J22">
            <v>0</v>
          </cell>
          <cell r="K22">
            <v>0</v>
          </cell>
          <cell r="L22">
            <v>1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010"/>
      <sheetName val="117011"/>
      <sheetName val="117101"/>
      <sheetName val="117301"/>
      <sheetName val="117701"/>
      <sheetName val="117302"/>
      <sheetName val="117702"/>
      <sheetName val="117799"/>
      <sheetName val="117405"/>
      <sheetName val="117303"/>
      <sheetName val="117410"/>
      <sheetName val="117304"/>
      <sheetName val="200261"/>
      <sheetName val="117322"/>
      <sheetName val="117324"/>
      <sheetName val="117330"/>
      <sheetName val="117601"/>
      <sheetName val="200558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09"/>
      <sheetName val="11746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102"/>
      <sheetName val="117329"/>
      <sheetName val="117729"/>
      <sheetName val="117602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2">
          <cell r="J22">
            <v>1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3">
        <row r="22">
          <cell r="J22">
            <v>1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8">
        <row r="22">
          <cell r="J22">
            <v>0</v>
          </cell>
          <cell r="K22">
            <v>0</v>
          </cell>
          <cell r="L22">
            <v>0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9">
        <row r="22">
          <cell r="J22">
            <v>0</v>
          </cell>
          <cell r="K22">
            <v>0</v>
          </cell>
          <cell r="L22">
            <v>1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0"/>
      <sheetData sheetId="21"/>
      <sheetData sheetId="22"/>
      <sheetData sheetId="23"/>
      <sheetData sheetId="2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5">
        <row r="22">
          <cell r="J22">
            <v>0</v>
          </cell>
          <cell r="K22">
            <v>0</v>
          </cell>
          <cell r="L22">
            <v>1</v>
          </cell>
          <cell r="M22">
            <v>2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6"/>
      <sheetData sheetId="2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2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0">
        <row r="22">
          <cell r="J22">
            <v>0</v>
          </cell>
          <cell r="K22">
            <v>0</v>
          </cell>
          <cell r="L22">
            <v>0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1"/>
      <sheetData sheetId="32"/>
      <sheetData sheetId="3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3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3"/>
      <sheetData sheetId="44">
        <row r="22">
          <cell r="J22">
            <v>0</v>
          </cell>
          <cell r="K22">
            <v>0</v>
          </cell>
          <cell r="L22">
            <v>1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7"/>
      <sheetData sheetId="4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4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1"/>
      <sheetData sheetId="52">
        <row r="22">
          <cell r="J22">
            <v>0</v>
          </cell>
          <cell r="K22">
            <v>0</v>
          </cell>
          <cell r="L22">
            <v>1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7"/>
      <sheetData sheetId="58">
        <row r="22">
          <cell r="J22">
            <v>0</v>
          </cell>
          <cell r="K22">
            <v>0</v>
          </cell>
          <cell r="L22">
            <v>1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5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2"/>
      <sheetData sheetId="63"/>
      <sheetData sheetId="6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66"/>
      <sheetData sheetId="67"/>
      <sheetData sheetId="68"/>
      <sheetData sheetId="6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0"/>
      <sheetData sheetId="7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4"/>
      <sheetData sheetId="75"/>
      <sheetData sheetId="7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9"/>
      <sheetData sheetId="8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3"/>
      <sheetData sheetId="8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7"/>
      <sheetData sheetId="8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8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1"/>
      <sheetData sheetId="92">
        <row r="22">
          <cell r="J22">
            <v>0</v>
          </cell>
          <cell r="K22">
            <v>0</v>
          </cell>
          <cell r="L22">
            <v>0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96"/>
      <sheetData sheetId="97"/>
      <sheetData sheetId="98"/>
      <sheetData sheetId="99">
        <row r="22">
          <cell r="J22">
            <v>0</v>
          </cell>
          <cell r="K22">
            <v>0</v>
          </cell>
          <cell r="L22">
            <v>1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1"/>
      <sheetData sheetId="10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7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09"/>
      <sheetData sheetId="110">
        <row r="22">
          <cell r="J22">
            <v>0</v>
          </cell>
          <cell r="K22">
            <v>0</v>
          </cell>
          <cell r="L22">
            <v>0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2">
        <row r="22">
          <cell r="J22">
            <v>1</v>
          </cell>
          <cell r="K22">
            <v>1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3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5">
        <row r="22">
          <cell r="J22">
            <v>0</v>
          </cell>
          <cell r="K22">
            <v>0</v>
          </cell>
          <cell r="L22">
            <v>0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6"/>
      <sheetData sheetId="117">
        <row r="22">
          <cell r="J22">
            <v>0</v>
          </cell>
          <cell r="K22">
            <v>0</v>
          </cell>
          <cell r="L22">
            <v>0</v>
          </cell>
          <cell r="M22">
            <v>1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1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0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1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2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3"/>
      <sheetData sheetId="124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5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6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7"/>
      <sheetData sheetId="128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129">
        <row r="22"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010"/>
      <sheetName val="117101"/>
      <sheetName val="117301"/>
      <sheetName val="117701"/>
      <sheetName val="117302"/>
      <sheetName val="117702"/>
      <sheetName val="117799"/>
      <sheetName val="117405"/>
      <sheetName val="117303"/>
      <sheetName val="117410"/>
      <sheetName val="117304"/>
      <sheetName val="200261"/>
      <sheetName val="117322"/>
      <sheetName val="117324"/>
      <sheetName val="117330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09"/>
      <sheetName val="11746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102"/>
      <sheetName val="117329"/>
      <sheetName val="117729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B11">
            <v>1094</v>
          </cell>
        </row>
        <row r="12">
          <cell r="B12">
            <v>879</v>
          </cell>
        </row>
        <row r="13">
          <cell r="B13">
            <v>829</v>
          </cell>
        </row>
        <row r="14">
          <cell r="B14">
            <v>890</v>
          </cell>
        </row>
        <row r="15">
          <cell r="B15">
            <v>900</v>
          </cell>
        </row>
        <row r="16">
          <cell r="B16">
            <v>964</v>
          </cell>
        </row>
        <row r="17">
          <cell r="B17">
            <v>869</v>
          </cell>
        </row>
        <row r="18">
          <cell r="B18">
            <v>704</v>
          </cell>
        </row>
      </sheetData>
      <sheetData sheetId="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2">
        <row r="11">
          <cell r="B11">
            <v>517</v>
          </cell>
        </row>
        <row r="12">
          <cell r="B12">
            <v>469</v>
          </cell>
        </row>
        <row r="13">
          <cell r="B13">
            <v>427</v>
          </cell>
        </row>
        <row r="14">
          <cell r="B14">
            <v>394</v>
          </cell>
        </row>
        <row r="15">
          <cell r="B15">
            <v>457</v>
          </cell>
        </row>
        <row r="16">
          <cell r="B16">
            <v>528</v>
          </cell>
        </row>
        <row r="17">
          <cell r="B17">
            <v>452</v>
          </cell>
        </row>
        <row r="18">
          <cell r="B18">
            <v>417</v>
          </cell>
        </row>
      </sheetData>
      <sheetData sheetId="13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4">
        <row r="11">
          <cell r="B11">
            <v>559</v>
          </cell>
        </row>
        <row r="12">
          <cell r="B12">
            <v>468</v>
          </cell>
        </row>
        <row r="13">
          <cell r="B13">
            <v>445</v>
          </cell>
        </row>
        <row r="14">
          <cell r="B14">
            <v>414</v>
          </cell>
        </row>
        <row r="15">
          <cell r="B15">
            <v>453</v>
          </cell>
        </row>
        <row r="16">
          <cell r="B16">
            <v>536</v>
          </cell>
        </row>
        <row r="17">
          <cell r="B17">
            <v>461</v>
          </cell>
        </row>
        <row r="18">
          <cell r="B18">
            <v>391</v>
          </cell>
        </row>
      </sheetData>
      <sheetData sheetId="1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6">
        <row r="11">
          <cell r="B11">
            <v>59</v>
          </cell>
        </row>
        <row r="12">
          <cell r="B12">
            <v>76</v>
          </cell>
        </row>
        <row r="13">
          <cell r="B13">
            <v>69</v>
          </cell>
        </row>
        <row r="14">
          <cell r="B14">
            <v>86</v>
          </cell>
        </row>
        <row r="15">
          <cell r="B15">
            <v>81</v>
          </cell>
        </row>
        <row r="16">
          <cell r="B16">
            <v>85</v>
          </cell>
        </row>
        <row r="17">
          <cell r="B17">
            <v>118</v>
          </cell>
        </row>
        <row r="18">
          <cell r="B18">
            <v>88</v>
          </cell>
        </row>
      </sheetData>
      <sheetData sheetId="17">
        <row r="11">
          <cell r="B11">
            <v>540</v>
          </cell>
        </row>
        <row r="12">
          <cell r="B12">
            <v>562</v>
          </cell>
        </row>
        <row r="13">
          <cell r="B13">
            <v>565</v>
          </cell>
        </row>
        <row r="14">
          <cell r="B14">
            <v>524</v>
          </cell>
        </row>
        <row r="15">
          <cell r="B15">
            <v>381</v>
          </cell>
        </row>
        <row r="16">
          <cell r="B16">
            <v>464</v>
          </cell>
        </row>
        <row r="17">
          <cell r="B17">
            <v>554</v>
          </cell>
        </row>
        <row r="18">
          <cell r="B18">
            <v>549</v>
          </cell>
        </row>
      </sheetData>
      <sheetData sheetId="18">
        <row r="11">
          <cell r="B11">
            <v>443</v>
          </cell>
        </row>
        <row r="12">
          <cell r="B12">
            <v>438</v>
          </cell>
        </row>
        <row r="13">
          <cell r="B13">
            <v>367</v>
          </cell>
        </row>
        <row r="14">
          <cell r="B14">
            <v>342</v>
          </cell>
        </row>
        <row r="15">
          <cell r="B15">
            <v>322</v>
          </cell>
        </row>
        <row r="16">
          <cell r="B16">
            <v>428</v>
          </cell>
        </row>
        <row r="17">
          <cell r="B17">
            <v>362</v>
          </cell>
        </row>
        <row r="18">
          <cell r="B18">
            <v>241</v>
          </cell>
        </row>
      </sheetData>
      <sheetData sheetId="19"/>
      <sheetData sheetId="20"/>
      <sheetData sheetId="21">
        <row r="11">
          <cell r="B11">
            <v>257</v>
          </cell>
        </row>
        <row r="12">
          <cell r="B12">
            <v>276</v>
          </cell>
        </row>
        <row r="13">
          <cell r="B13">
            <v>229</v>
          </cell>
        </row>
        <row r="14">
          <cell r="B14">
            <v>232</v>
          </cell>
        </row>
        <row r="15">
          <cell r="B15">
            <v>259</v>
          </cell>
        </row>
        <row r="16">
          <cell r="B16">
            <v>327</v>
          </cell>
        </row>
        <row r="17">
          <cell r="B17">
            <v>290</v>
          </cell>
        </row>
        <row r="18">
          <cell r="B18">
            <v>215</v>
          </cell>
        </row>
      </sheetData>
      <sheetData sheetId="2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23"/>
      <sheetData sheetId="24">
        <row r="11">
          <cell r="B11">
            <v>454</v>
          </cell>
        </row>
        <row r="12">
          <cell r="B12">
            <v>480</v>
          </cell>
        </row>
        <row r="13">
          <cell r="B13">
            <v>397</v>
          </cell>
        </row>
        <row r="14">
          <cell r="B14">
            <v>375</v>
          </cell>
        </row>
        <row r="15">
          <cell r="B15">
            <v>416</v>
          </cell>
        </row>
        <row r="16">
          <cell r="B16">
            <v>541</v>
          </cell>
        </row>
        <row r="17">
          <cell r="B17">
            <v>535</v>
          </cell>
        </row>
        <row r="18">
          <cell r="B18">
            <v>396</v>
          </cell>
        </row>
      </sheetData>
      <sheetData sheetId="2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2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27">
        <row r="11">
          <cell r="B11">
            <v>312</v>
          </cell>
        </row>
        <row r="12">
          <cell r="B12">
            <v>342</v>
          </cell>
        </row>
        <row r="13">
          <cell r="B13">
            <v>310</v>
          </cell>
        </row>
        <row r="14">
          <cell r="B14">
            <v>322</v>
          </cell>
        </row>
        <row r="15">
          <cell r="B15">
            <v>328</v>
          </cell>
        </row>
        <row r="16">
          <cell r="B16">
            <v>395</v>
          </cell>
        </row>
        <row r="17">
          <cell r="B17">
            <v>321</v>
          </cell>
        </row>
        <row r="18">
          <cell r="B18">
            <v>189</v>
          </cell>
        </row>
      </sheetData>
      <sheetData sheetId="28"/>
      <sheetData sheetId="29"/>
      <sheetData sheetId="30">
        <row r="11">
          <cell r="B11">
            <v>58</v>
          </cell>
        </row>
        <row r="12">
          <cell r="B12">
            <v>65</v>
          </cell>
        </row>
        <row r="13">
          <cell r="B13">
            <v>72</v>
          </cell>
        </row>
        <row r="14">
          <cell r="B14">
            <v>97</v>
          </cell>
        </row>
        <row r="15">
          <cell r="B15">
            <v>103</v>
          </cell>
        </row>
        <row r="16">
          <cell r="B16">
            <v>113</v>
          </cell>
        </row>
        <row r="17">
          <cell r="B17">
            <v>96</v>
          </cell>
        </row>
        <row r="18">
          <cell r="B18">
            <v>94</v>
          </cell>
        </row>
      </sheetData>
      <sheetData sheetId="3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3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4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7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8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0"/>
      <sheetData sheetId="41">
        <row r="11">
          <cell r="B11">
            <v>179</v>
          </cell>
        </row>
        <row r="12">
          <cell r="B12">
            <v>173</v>
          </cell>
        </row>
        <row r="13">
          <cell r="B13">
            <v>157</v>
          </cell>
        </row>
        <row r="14">
          <cell r="B14">
            <v>179</v>
          </cell>
        </row>
        <row r="15">
          <cell r="B15">
            <v>194</v>
          </cell>
        </row>
        <row r="16">
          <cell r="B16">
            <v>207</v>
          </cell>
        </row>
        <row r="17">
          <cell r="B17">
            <v>225</v>
          </cell>
        </row>
        <row r="18">
          <cell r="B18">
            <v>182</v>
          </cell>
        </row>
      </sheetData>
      <sheetData sheetId="4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3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4"/>
      <sheetData sheetId="45">
        <row r="11">
          <cell r="B11">
            <v>322</v>
          </cell>
        </row>
        <row r="12">
          <cell r="B12">
            <v>374</v>
          </cell>
        </row>
        <row r="13">
          <cell r="B13">
            <v>332</v>
          </cell>
        </row>
        <row r="14">
          <cell r="B14">
            <v>294</v>
          </cell>
        </row>
        <row r="15">
          <cell r="B15">
            <v>341</v>
          </cell>
        </row>
        <row r="16">
          <cell r="B16">
            <v>382</v>
          </cell>
        </row>
        <row r="17">
          <cell r="B17">
            <v>358</v>
          </cell>
        </row>
        <row r="18">
          <cell r="B18">
            <v>309</v>
          </cell>
        </row>
      </sheetData>
      <sheetData sheetId="4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7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8"/>
      <sheetData sheetId="49">
        <row r="11">
          <cell r="B11">
            <v>436</v>
          </cell>
        </row>
        <row r="12">
          <cell r="B12">
            <v>504</v>
          </cell>
        </row>
        <row r="13">
          <cell r="B13">
            <v>473</v>
          </cell>
        </row>
        <row r="14">
          <cell r="B14">
            <v>426</v>
          </cell>
        </row>
        <row r="15">
          <cell r="B15">
            <v>498</v>
          </cell>
        </row>
        <row r="16">
          <cell r="B16">
            <v>564</v>
          </cell>
        </row>
        <row r="17">
          <cell r="B17">
            <v>549</v>
          </cell>
        </row>
        <row r="18">
          <cell r="B18">
            <v>516</v>
          </cell>
        </row>
      </sheetData>
      <sheetData sheetId="5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3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4"/>
      <sheetData sheetId="55">
        <row r="11">
          <cell r="B11">
            <v>149</v>
          </cell>
        </row>
        <row r="12">
          <cell r="B12">
            <v>205</v>
          </cell>
        </row>
        <row r="13">
          <cell r="B13">
            <v>166</v>
          </cell>
        </row>
        <row r="14">
          <cell r="B14">
            <v>210</v>
          </cell>
        </row>
        <row r="15">
          <cell r="B15">
            <v>179</v>
          </cell>
        </row>
        <row r="16">
          <cell r="B16">
            <v>246</v>
          </cell>
        </row>
        <row r="17">
          <cell r="B17">
            <v>222</v>
          </cell>
        </row>
        <row r="18">
          <cell r="B18">
            <v>205</v>
          </cell>
        </row>
      </sheetData>
      <sheetData sheetId="5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7">
        <row r="11">
          <cell r="B11">
            <v>93</v>
          </cell>
        </row>
        <row r="12">
          <cell r="B12">
            <v>126</v>
          </cell>
        </row>
        <row r="13">
          <cell r="B13">
            <v>120</v>
          </cell>
        </row>
        <row r="14">
          <cell r="B14">
            <v>107</v>
          </cell>
        </row>
        <row r="15">
          <cell r="B15">
            <v>102</v>
          </cell>
        </row>
        <row r="16">
          <cell r="B16">
            <v>141</v>
          </cell>
        </row>
        <row r="17">
          <cell r="B17">
            <v>148</v>
          </cell>
        </row>
        <row r="18">
          <cell r="B18">
            <v>104</v>
          </cell>
        </row>
      </sheetData>
      <sheetData sheetId="58">
        <row r="11">
          <cell r="B11">
            <v>131</v>
          </cell>
        </row>
        <row r="12">
          <cell r="B12">
            <v>130</v>
          </cell>
        </row>
        <row r="13">
          <cell r="B13">
            <v>124</v>
          </cell>
        </row>
        <row r="14">
          <cell r="B14">
            <v>113</v>
          </cell>
        </row>
        <row r="15">
          <cell r="B15">
            <v>133</v>
          </cell>
        </row>
        <row r="16">
          <cell r="B16">
            <v>156</v>
          </cell>
        </row>
        <row r="17">
          <cell r="B17">
            <v>128</v>
          </cell>
        </row>
        <row r="18">
          <cell r="B18">
            <v>111</v>
          </cell>
        </row>
      </sheetData>
      <sheetData sheetId="59"/>
      <sheetData sheetId="60"/>
      <sheetData sheetId="61">
        <row r="11">
          <cell r="B11">
            <v>104</v>
          </cell>
        </row>
        <row r="12">
          <cell r="B12">
            <v>116</v>
          </cell>
        </row>
        <row r="13">
          <cell r="B13">
            <v>117</v>
          </cell>
        </row>
        <row r="14">
          <cell r="B14">
            <v>119</v>
          </cell>
        </row>
        <row r="15">
          <cell r="B15">
            <v>130</v>
          </cell>
        </row>
        <row r="16">
          <cell r="B16">
            <v>146</v>
          </cell>
        </row>
        <row r="17">
          <cell r="B17">
            <v>157</v>
          </cell>
        </row>
        <row r="18">
          <cell r="B18">
            <v>95</v>
          </cell>
        </row>
      </sheetData>
      <sheetData sheetId="6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63"/>
      <sheetData sheetId="64"/>
      <sheetData sheetId="65"/>
      <sheetData sheetId="66"/>
      <sheetData sheetId="67"/>
      <sheetData sheetId="68">
        <row r="11">
          <cell r="B11">
            <v>98</v>
          </cell>
        </row>
        <row r="12">
          <cell r="B12">
            <v>118</v>
          </cell>
        </row>
        <row r="13">
          <cell r="B13">
            <v>110</v>
          </cell>
        </row>
        <row r="14">
          <cell r="B14">
            <v>132</v>
          </cell>
        </row>
        <row r="15">
          <cell r="B15">
            <v>129</v>
          </cell>
        </row>
        <row r="16">
          <cell r="B16">
            <v>138</v>
          </cell>
        </row>
        <row r="17">
          <cell r="B17">
            <v>113</v>
          </cell>
        </row>
        <row r="18">
          <cell r="B18">
            <v>107</v>
          </cell>
        </row>
      </sheetData>
      <sheetData sheetId="6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7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71"/>
      <sheetData sheetId="72"/>
      <sheetData sheetId="73">
        <row r="11">
          <cell r="B11">
            <v>36</v>
          </cell>
        </row>
        <row r="12">
          <cell r="B12">
            <v>38</v>
          </cell>
        </row>
        <row r="13">
          <cell r="B13">
            <v>47</v>
          </cell>
        </row>
        <row r="14">
          <cell r="B14">
            <v>53</v>
          </cell>
        </row>
        <row r="15">
          <cell r="B15">
            <v>68</v>
          </cell>
        </row>
        <row r="16">
          <cell r="B16">
            <v>59</v>
          </cell>
        </row>
        <row r="17">
          <cell r="B17">
            <v>80</v>
          </cell>
        </row>
        <row r="18">
          <cell r="B18">
            <v>63</v>
          </cell>
        </row>
      </sheetData>
      <sheetData sheetId="74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7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76"/>
      <sheetData sheetId="77">
        <row r="11">
          <cell r="B11">
            <v>98</v>
          </cell>
        </row>
        <row r="12">
          <cell r="B12">
            <v>126</v>
          </cell>
        </row>
        <row r="13">
          <cell r="B13">
            <v>140</v>
          </cell>
        </row>
        <row r="14">
          <cell r="B14">
            <v>136</v>
          </cell>
        </row>
        <row r="15">
          <cell r="B15">
            <v>145</v>
          </cell>
        </row>
        <row r="16">
          <cell r="B16">
            <v>183</v>
          </cell>
        </row>
        <row r="17">
          <cell r="B17">
            <v>171</v>
          </cell>
        </row>
        <row r="18">
          <cell r="B18">
            <v>179</v>
          </cell>
        </row>
      </sheetData>
      <sheetData sheetId="78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7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80"/>
      <sheetData sheetId="81">
        <row r="11">
          <cell r="B11">
            <v>86</v>
          </cell>
        </row>
        <row r="12">
          <cell r="B12">
            <v>113</v>
          </cell>
        </row>
        <row r="13">
          <cell r="B13">
            <v>97</v>
          </cell>
        </row>
        <row r="14">
          <cell r="B14">
            <v>92</v>
          </cell>
        </row>
        <row r="15">
          <cell r="B15">
            <v>148</v>
          </cell>
        </row>
        <row r="16">
          <cell r="B16">
            <v>182</v>
          </cell>
        </row>
        <row r="17">
          <cell r="B17">
            <v>202</v>
          </cell>
        </row>
        <row r="18">
          <cell r="B18">
            <v>150</v>
          </cell>
        </row>
      </sheetData>
      <sheetData sheetId="8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83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84"/>
      <sheetData sheetId="85">
        <row r="11">
          <cell r="B11">
            <v>137</v>
          </cell>
        </row>
        <row r="12">
          <cell r="B12">
            <v>146</v>
          </cell>
        </row>
        <row r="13">
          <cell r="B13">
            <v>151</v>
          </cell>
        </row>
        <row r="14">
          <cell r="B14">
            <v>170</v>
          </cell>
        </row>
        <row r="15">
          <cell r="B15">
            <v>179</v>
          </cell>
        </row>
        <row r="16">
          <cell r="B16">
            <v>183</v>
          </cell>
        </row>
        <row r="17">
          <cell r="B17">
            <v>189</v>
          </cell>
        </row>
        <row r="18">
          <cell r="B18">
            <v>183</v>
          </cell>
        </row>
      </sheetData>
      <sheetData sheetId="8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87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88"/>
      <sheetData sheetId="89">
        <row r="11">
          <cell r="B11">
            <v>110</v>
          </cell>
        </row>
        <row r="12">
          <cell r="B12">
            <v>130</v>
          </cell>
        </row>
        <row r="13">
          <cell r="B13">
            <v>137</v>
          </cell>
        </row>
        <row r="14">
          <cell r="B14">
            <v>160</v>
          </cell>
        </row>
        <row r="15">
          <cell r="B15">
            <v>163</v>
          </cell>
        </row>
        <row r="16">
          <cell r="B16">
            <v>168</v>
          </cell>
        </row>
        <row r="17">
          <cell r="B17">
            <v>155</v>
          </cell>
        </row>
        <row r="18">
          <cell r="B18">
            <v>148</v>
          </cell>
        </row>
      </sheetData>
      <sheetData sheetId="9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9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9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93"/>
      <sheetData sheetId="94"/>
      <sheetData sheetId="95"/>
      <sheetData sheetId="96">
        <row r="11">
          <cell r="B11">
            <v>865</v>
          </cell>
        </row>
        <row r="12">
          <cell r="B12">
            <v>941</v>
          </cell>
        </row>
        <row r="13">
          <cell r="B13">
            <v>853</v>
          </cell>
        </row>
        <row r="14">
          <cell r="B14">
            <v>770</v>
          </cell>
        </row>
        <row r="15">
          <cell r="B15">
            <v>782</v>
          </cell>
        </row>
        <row r="16">
          <cell r="B16">
            <v>895</v>
          </cell>
        </row>
        <row r="17">
          <cell r="B17">
            <v>921</v>
          </cell>
        </row>
        <row r="18">
          <cell r="B18">
            <v>785</v>
          </cell>
        </row>
      </sheetData>
      <sheetData sheetId="97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98">
        <row r="11">
          <cell r="B11">
            <v>610</v>
          </cell>
        </row>
        <row r="12">
          <cell r="B12">
            <v>668</v>
          </cell>
        </row>
        <row r="13">
          <cell r="B13">
            <v>510</v>
          </cell>
        </row>
        <row r="14">
          <cell r="B14">
            <v>537</v>
          </cell>
        </row>
        <row r="15">
          <cell r="B15">
            <v>596</v>
          </cell>
        </row>
        <row r="16">
          <cell r="B16">
            <v>695</v>
          </cell>
        </row>
        <row r="17">
          <cell r="B17">
            <v>675</v>
          </cell>
        </row>
        <row r="18">
          <cell r="B18">
            <v>574</v>
          </cell>
        </row>
      </sheetData>
      <sheetData sheetId="9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3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4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5"/>
      <sheetData sheetId="106">
        <row r="11">
          <cell r="B11">
            <v>540</v>
          </cell>
        </row>
        <row r="12">
          <cell r="B12">
            <v>600</v>
          </cell>
        </row>
        <row r="13">
          <cell r="B13">
            <v>602</v>
          </cell>
        </row>
        <row r="14">
          <cell r="B14">
            <v>594</v>
          </cell>
        </row>
        <row r="15">
          <cell r="B15">
            <v>592</v>
          </cell>
        </row>
        <row r="16">
          <cell r="B16">
            <v>648</v>
          </cell>
        </row>
        <row r="17">
          <cell r="B17">
            <v>577</v>
          </cell>
        </row>
        <row r="18">
          <cell r="B18">
            <v>480</v>
          </cell>
        </row>
      </sheetData>
      <sheetData sheetId="107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8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1">
        <row r="11">
          <cell r="B11">
            <v>110</v>
          </cell>
        </row>
        <row r="12">
          <cell r="B12">
            <v>119</v>
          </cell>
        </row>
        <row r="13">
          <cell r="B13">
            <v>134</v>
          </cell>
        </row>
        <row r="14">
          <cell r="B14">
            <v>94</v>
          </cell>
        </row>
        <row r="15">
          <cell r="B15">
            <v>105</v>
          </cell>
        </row>
        <row r="16">
          <cell r="B16">
            <v>126</v>
          </cell>
        </row>
        <row r="17">
          <cell r="B17">
            <v>100</v>
          </cell>
        </row>
        <row r="18">
          <cell r="B18">
            <v>89</v>
          </cell>
        </row>
      </sheetData>
      <sheetData sheetId="112"/>
      <sheetData sheetId="113">
        <row r="11">
          <cell r="B11">
            <v>347</v>
          </cell>
        </row>
        <row r="12">
          <cell r="B12">
            <v>280</v>
          </cell>
        </row>
        <row r="13">
          <cell r="B13">
            <v>329</v>
          </cell>
        </row>
        <row r="14">
          <cell r="B14">
            <v>322</v>
          </cell>
        </row>
        <row r="15">
          <cell r="B15">
            <v>322</v>
          </cell>
        </row>
        <row r="16">
          <cell r="B16">
            <v>341</v>
          </cell>
        </row>
        <row r="17">
          <cell r="B17">
            <v>403</v>
          </cell>
        </row>
        <row r="18">
          <cell r="B18">
            <v>333</v>
          </cell>
        </row>
      </sheetData>
      <sheetData sheetId="114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7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8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9"/>
      <sheetData sheetId="120">
        <row r="11">
          <cell r="B11">
            <v>128</v>
          </cell>
        </row>
        <row r="12">
          <cell r="B12">
            <v>155</v>
          </cell>
        </row>
        <row r="13">
          <cell r="B13">
            <v>121</v>
          </cell>
        </row>
        <row r="14">
          <cell r="B14">
            <v>136</v>
          </cell>
        </row>
        <row r="15">
          <cell r="B15">
            <v>122</v>
          </cell>
        </row>
        <row r="16">
          <cell r="B16">
            <v>111</v>
          </cell>
        </row>
        <row r="17">
          <cell r="B17">
            <v>127</v>
          </cell>
        </row>
        <row r="18">
          <cell r="B18">
            <v>87</v>
          </cell>
        </row>
      </sheetData>
      <sheetData sheetId="12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2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23"/>
      <sheetData sheetId="124">
        <row r="11">
          <cell r="B11">
            <v>336</v>
          </cell>
        </row>
        <row r="12">
          <cell r="B12">
            <v>361</v>
          </cell>
        </row>
        <row r="13">
          <cell r="B13">
            <v>360</v>
          </cell>
        </row>
        <row r="14">
          <cell r="B14">
            <v>368</v>
          </cell>
        </row>
        <row r="15">
          <cell r="B15">
            <v>371</v>
          </cell>
        </row>
        <row r="16">
          <cell r="B16">
            <v>418</v>
          </cell>
        </row>
        <row r="17">
          <cell r="B17">
            <v>364</v>
          </cell>
        </row>
        <row r="18">
          <cell r="B18">
            <v>341</v>
          </cell>
        </row>
      </sheetData>
      <sheetData sheetId="12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101"/>
      <sheetName val="117301"/>
      <sheetName val="117701"/>
      <sheetName val="117302"/>
      <sheetName val="117702"/>
      <sheetName val="117799"/>
      <sheetName val="117405"/>
      <sheetName val="117410"/>
      <sheetName val="117303"/>
      <sheetName val="117304"/>
      <sheetName val="200261"/>
      <sheetName val="117322"/>
      <sheetName val="117324"/>
      <sheetName val="117330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69"/>
      <sheetName val="11740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102"/>
      <sheetName val="117329"/>
      <sheetName val="117729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8">
          <cell r="S48">
            <v>43</v>
          </cell>
          <cell r="T48">
            <v>34</v>
          </cell>
        </row>
      </sheetData>
      <sheetData sheetId="8">
        <row r="48">
          <cell r="S48">
            <v>1</v>
          </cell>
          <cell r="T48">
            <v>0</v>
          </cell>
        </row>
      </sheetData>
      <sheetData sheetId="9">
        <row r="48">
          <cell r="S48">
            <v>1</v>
          </cell>
          <cell r="T48">
            <v>4</v>
          </cell>
        </row>
      </sheetData>
      <sheetData sheetId="10">
        <row r="48">
          <cell r="S48">
            <v>2</v>
          </cell>
          <cell r="T48">
            <v>0</v>
          </cell>
        </row>
      </sheetData>
      <sheetData sheetId="11">
        <row r="48">
          <cell r="S48">
            <v>0</v>
          </cell>
          <cell r="T48">
            <v>0</v>
          </cell>
        </row>
      </sheetData>
      <sheetData sheetId="12">
        <row r="48">
          <cell r="S48">
            <v>25</v>
          </cell>
          <cell r="T48">
            <v>17</v>
          </cell>
        </row>
      </sheetData>
      <sheetData sheetId="13">
        <row r="48">
          <cell r="S48">
            <v>20</v>
          </cell>
          <cell r="T48">
            <v>16</v>
          </cell>
        </row>
      </sheetData>
      <sheetData sheetId="14">
        <row r="48">
          <cell r="S48">
            <v>1</v>
          </cell>
          <cell r="T48">
            <v>0</v>
          </cell>
        </row>
      </sheetData>
      <sheetData sheetId="15">
        <row r="48">
          <cell r="S48">
            <v>3</v>
          </cell>
          <cell r="T48">
            <v>3</v>
          </cell>
        </row>
      </sheetData>
      <sheetData sheetId="16">
        <row r="48">
          <cell r="S48">
            <v>14</v>
          </cell>
          <cell r="T48">
            <v>10</v>
          </cell>
        </row>
      </sheetData>
      <sheetData sheetId="17">
        <row r="48">
          <cell r="S48">
            <v>8</v>
          </cell>
          <cell r="T48">
            <v>15</v>
          </cell>
        </row>
      </sheetData>
      <sheetData sheetId="18"/>
      <sheetData sheetId="19"/>
      <sheetData sheetId="20">
        <row r="48">
          <cell r="S48">
            <v>6</v>
          </cell>
          <cell r="T48">
            <v>5</v>
          </cell>
        </row>
      </sheetData>
      <sheetData sheetId="21">
        <row r="48">
          <cell r="S48">
            <v>2</v>
          </cell>
          <cell r="T48">
            <v>2</v>
          </cell>
        </row>
      </sheetData>
      <sheetData sheetId="22"/>
      <sheetData sheetId="23">
        <row r="48">
          <cell r="S48">
            <v>22</v>
          </cell>
          <cell r="T48">
            <v>19</v>
          </cell>
        </row>
      </sheetData>
      <sheetData sheetId="24">
        <row r="48">
          <cell r="S48">
            <v>1</v>
          </cell>
          <cell r="T48">
            <v>1</v>
          </cell>
        </row>
      </sheetData>
      <sheetData sheetId="25">
        <row r="48">
          <cell r="S48">
            <v>0</v>
          </cell>
          <cell r="T48">
            <v>0</v>
          </cell>
        </row>
      </sheetData>
      <sheetData sheetId="26">
        <row r="48">
          <cell r="S48">
            <v>12</v>
          </cell>
          <cell r="T48">
            <v>13</v>
          </cell>
        </row>
      </sheetData>
      <sheetData sheetId="27"/>
      <sheetData sheetId="28"/>
      <sheetData sheetId="29">
        <row r="48">
          <cell r="S48">
            <v>12</v>
          </cell>
          <cell r="T48">
            <v>7</v>
          </cell>
        </row>
      </sheetData>
      <sheetData sheetId="30">
        <row r="48">
          <cell r="S48">
            <v>0</v>
          </cell>
          <cell r="T48">
            <v>0</v>
          </cell>
        </row>
      </sheetData>
      <sheetData sheetId="31">
        <row r="48">
          <cell r="S48">
            <v>0</v>
          </cell>
          <cell r="T48">
            <v>0</v>
          </cell>
        </row>
      </sheetData>
      <sheetData sheetId="32">
        <row r="48">
          <cell r="S48">
            <v>0</v>
          </cell>
          <cell r="T48">
            <v>0</v>
          </cell>
        </row>
      </sheetData>
      <sheetData sheetId="33">
        <row r="48">
          <cell r="S48">
            <v>0</v>
          </cell>
          <cell r="T48">
            <v>0</v>
          </cell>
        </row>
      </sheetData>
      <sheetData sheetId="34">
        <row r="48">
          <cell r="S48">
            <v>0</v>
          </cell>
          <cell r="T48">
            <v>0</v>
          </cell>
        </row>
      </sheetData>
      <sheetData sheetId="35">
        <row r="48">
          <cell r="S48">
            <v>0</v>
          </cell>
          <cell r="T48">
            <v>0</v>
          </cell>
        </row>
      </sheetData>
      <sheetData sheetId="36">
        <row r="48">
          <cell r="S48">
            <v>0</v>
          </cell>
          <cell r="T48">
            <v>0</v>
          </cell>
        </row>
      </sheetData>
      <sheetData sheetId="37">
        <row r="48">
          <cell r="S48">
            <v>0</v>
          </cell>
          <cell r="T48">
            <v>0</v>
          </cell>
        </row>
      </sheetData>
      <sheetData sheetId="38">
        <row r="48">
          <cell r="S48">
            <v>0</v>
          </cell>
          <cell r="T48">
            <v>0</v>
          </cell>
        </row>
      </sheetData>
      <sheetData sheetId="39"/>
      <sheetData sheetId="40">
        <row r="48">
          <cell r="S48">
            <v>4</v>
          </cell>
          <cell r="T48">
            <v>2</v>
          </cell>
        </row>
      </sheetData>
      <sheetData sheetId="41">
        <row r="48">
          <cell r="S48">
            <v>0</v>
          </cell>
          <cell r="T48">
            <v>0</v>
          </cell>
        </row>
      </sheetData>
      <sheetData sheetId="42">
        <row r="48">
          <cell r="S48">
            <v>0</v>
          </cell>
          <cell r="T48">
            <v>0</v>
          </cell>
        </row>
      </sheetData>
      <sheetData sheetId="43"/>
      <sheetData sheetId="44">
        <row r="48">
          <cell r="S48">
            <v>3</v>
          </cell>
          <cell r="T48">
            <v>6</v>
          </cell>
        </row>
      </sheetData>
      <sheetData sheetId="45">
        <row r="48">
          <cell r="S48">
            <v>0</v>
          </cell>
          <cell r="T48">
            <v>0</v>
          </cell>
        </row>
      </sheetData>
      <sheetData sheetId="46">
        <row r="48">
          <cell r="S48">
            <v>1</v>
          </cell>
          <cell r="T48">
            <v>0</v>
          </cell>
        </row>
      </sheetData>
      <sheetData sheetId="47"/>
      <sheetData sheetId="48">
        <row r="48">
          <cell r="S48">
            <v>7</v>
          </cell>
          <cell r="T48">
            <v>4</v>
          </cell>
        </row>
      </sheetData>
      <sheetData sheetId="49">
        <row r="48">
          <cell r="S48">
            <v>3</v>
          </cell>
          <cell r="T48">
            <v>0</v>
          </cell>
        </row>
      </sheetData>
      <sheetData sheetId="50">
        <row r="48">
          <cell r="S48">
            <v>0</v>
          </cell>
          <cell r="T48">
            <v>0</v>
          </cell>
        </row>
      </sheetData>
      <sheetData sheetId="51">
        <row r="48">
          <cell r="S48">
            <v>0</v>
          </cell>
          <cell r="T48">
            <v>0</v>
          </cell>
        </row>
      </sheetData>
      <sheetData sheetId="52">
        <row r="48">
          <cell r="S48">
            <v>0</v>
          </cell>
          <cell r="T48">
            <v>0</v>
          </cell>
        </row>
      </sheetData>
      <sheetData sheetId="53"/>
      <sheetData sheetId="54">
        <row r="48">
          <cell r="S48">
            <v>6</v>
          </cell>
          <cell r="T48">
            <v>3</v>
          </cell>
        </row>
      </sheetData>
      <sheetData sheetId="55">
        <row r="48">
          <cell r="S48">
            <v>0</v>
          </cell>
          <cell r="T48">
            <v>0</v>
          </cell>
        </row>
      </sheetData>
      <sheetData sheetId="56">
        <row r="48">
          <cell r="S48">
            <v>3</v>
          </cell>
          <cell r="T48">
            <v>1</v>
          </cell>
        </row>
      </sheetData>
      <sheetData sheetId="57">
        <row r="48">
          <cell r="S48">
            <v>7</v>
          </cell>
          <cell r="T48">
            <v>4</v>
          </cell>
        </row>
      </sheetData>
      <sheetData sheetId="58"/>
      <sheetData sheetId="59"/>
      <sheetData sheetId="60">
        <row r="48">
          <cell r="S48">
            <v>2</v>
          </cell>
          <cell r="T48">
            <v>6</v>
          </cell>
        </row>
      </sheetData>
      <sheetData sheetId="61">
        <row r="48">
          <cell r="S48">
            <v>0</v>
          </cell>
          <cell r="T48">
            <v>0</v>
          </cell>
        </row>
      </sheetData>
      <sheetData sheetId="62"/>
      <sheetData sheetId="63"/>
      <sheetData sheetId="64"/>
      <sheetData sheetId="65"/>
      <sheetData sheetId="66"/>
      <sheetData sheetId="67">
        <row r="48">
          <cell r="S48">
            <v>1</v>
          </cell>
          <cell r="T48">
            <v>2</v>
          </cell>
        </row>
      </sheetData>
      <sheetData sheetId="68">
        <row r="48">
          <cell r="S48">
            <v>1</v>
          </cell>
          <cell r="T48">
            <v>1</v>
          </cell>
        </row>
      </sheetData>
      <sheetData sheetId="69">
        <row r="48">
          <cell r="S48">
            <v>0</v>
          </cell>
          <cell r="T48">
            <v>0</v>
          </cell>
        </row>
      </sheetData>
      <sheetData sheetId="70"/>
      <sheetData sheetId="71"/>
      <sheetData sheetId="72">
        <row r="48">
          <cell r="S48">
            <v>0</v>
          </cell>
          <cell r="T48">
            <v>0</v>
          </cell>
        </row>
      </sheetData>
      <sheetData sheetId="73">
        <row r="48">
          <cell r="S48">
            <v>6</v>
          </cell>
          <cell r="T48">
            <v>6</v>
          </cell>
        </row>
      </sheetData>
      <sheetData sheetId="74">
        <row r="48">
          <cell r="S48">
            <v>1</v>
          </cell>
          <cell r="T48">
            <v>0</v>
          </cell>
        </row>
      </sheetData>
      <sheetData sheetId="75"/>
      <sheetData sheetId="76">
        <row r="48">
          <cell r="S48">
            <v>9</v>
          </cell>
          <cell r="T48">
            <v>5</v>
          </cell>
        </row>
      </sheetData>
      <sheetData sheetId="77">
        <row r="48">
          <cell r="S48">
            <v>2</v>
          </cell>
          <cell r="T48">
            <v>0</v>
          </cell>
        </row>
      </sheetData>
      <sheetData sheetId="78">
        <row r="48">
          <cell r="S48">
            <v>1</v>
          </cell>
          <cell r="T48">
            <v>0</v>
          </cell>
        </row>
      </sheetData>
      <sheetData sheetId="79"/>
      <sheetData sheetId="80">
        <row r="48">
          <cell r="S48">
            <v>4</v>
          </cell>
          <cell r="T48">
            <v>3</v>
          </cell>
        </row>
      </sheetData>
      <sheetData sheetId="81">
        <row r="48">
          <cell r="S48">
            <v>0</v>
          </cell>
          <cell r="T48">
            <v>0</v>
          </cell>
        </row>
      </sheetData>
      <sheetData sheetId="82">
        <row r="48">
          <cell r="S48">
            <v>0</v>
          </cell>
          <cell r="T48">
            <v>0</v>
          </cell>
        </row>
      </sheetData>
      <sheetData sheetId="83"/>
      <sheetData sheetId="84">
        <row r="48">
          <cell r="S48">
            <v>4</v>
          </cell>
          <cell r="T48">
            <v>4</v>
          </cell>
        </row>
      </sheetData>
      <sheetData sheetId="85">
        <row r="48">
          <cell r="S48">
            <v>0</v>
          </cell>
          <cell r="T48">
            <v>1</v>
          </cell>
        </row>
      </sheetData>
      <sheetData sheetId="86">
        <row r="48">
          <cell r="S48">
            <v>1</v>
          </cell>
          <cell r="T48">
            <v>1</v>
          </cell>
        </row>
      </sheetData>
      <sheetData sheetId="87"/>
      <sheetData sheetId="88">
        <row r="48">
          <cell r="S48">
            <v>6</v>
          </cell>
          <cell r="T48">
            <v>4</v>
          </cell>
        </row>
      </sheetData>
      <sheetData sheetId="89">
        <row r="48">
          <cell r="S48">
            <v>0</v>
          </cell>
          <cell r="T48">
            <v>0</v>
          </cell>
        </row>
      </sheetData>
      <sheetData sheetId="90">
        <row r="48">
          <cell r="S48">
            <v>0</v>
          </cell>
          <cell r="T48">
            <v>0</v>
          </cell>
        </row>
      </sheetData>
      <sheetData sheetId="91">
        <row r="48">
          <cell r="S48">
            <v>0</v>
          </cell>
          <cell r="T48">
            <v>0</v>
          </cell>
        </row>
      </sheetData>
      <sheetData sheetId="92"/>
      <sheetData sheetId="93"/>
      <sheetData sheetId="94"/>
      <sheetData sheetId="95">
        <row r="48">
          <cell r="S48">
            <v>10</v>
          </cell>
          <cell r="T48">
            <v>15</v>
          </cell>
        </row>
      </sheetData>
      <sheetData sheetId="96">
        <row r="48">
          <cell r="S48">
            <v>1</v>
          </cell>
          <cell r="T48">
            <v>2</v>
          </cell>
        </row>
      </sheetData>
      <sheetData sheetId="97">
        <row r="48">
          <cell r="S48">
            <v>8</v>
          </cell>
          <cell r="T48">
            <v>13</v>
          </cell>
        </row>
      </sheetData>
      <sheetData sheetId="98">
        <row r="48">
          <cell r="S48">
            <v>0</v>
          </cell>
          <cell r="T48">
            <v>1</v>
          </cell>
        </row>
      </sheetData>
      <sheetData sheetId="99">
        <row r="48">
          <cell r="S48">
            <v>0</v>
          </cell>
          <cell r="T48">
            <v>0</v>
          </cell>
        </row>
      </sheetData>
      <sheetData sheetId="100">
        <row r="48">
          <cell r="S48">
            <v>0</v>
          </cell>
          <cell r="T48">
            <v>0</v>
          </cell>
        </row>
      </sheetData>
      <sheetData sheetId="101">
        <row r="48">
          <cell r="S48">
            <v>0</v>
          </cell>
          <cell r="T48">
            <v>0</v>
          </cell>
        </row>
      </sheetData>
      <sheetData sheetId="102">
        <row r="48">
          <cell r="S48">
            <v>0</v>
          </cell>
          <cell r="T48">
            <v>0</v>
          </cell>
        </row>
      </sheetData>
      <sheetData sheetId="103">
        <row r="48">
          <cell r="S48">
            <v>0</v>
          </cell>
          <cell r="T48">
            <v>0</v>
          </cell>
        </row>
      </sheetData>
      <sheetData sheetId="104"/>
      <sheetData sheetId="105">
        <row r="48">
          <cell r="S48">
            <v>12</v>
          </cell>
          <cell r="T48">
            <v>18</v>
          </cell>
        </row>
      </sheetData>
      <sheetData sheetId="106">
        <row r="48">
          <cell r="S48">
            <v>2</v>
          </cell>
          <cell r="T48">
            <v>0</v>
          </cell>
        </row>
      </sheetData>
      <sheetData sheetId="107">
        <row r="48">
          <cell r="S48">
            <v>0</v>
          </cell>
          <cell r="T48">
            <v>5</v>
          </cell>
        </row>
      </sheetData>
      <sheetData sheetId="108">
        <row r="48">
          <cell r="S48">
            <v>0</v>
          </cell>
          <cell r="T48">
            <v>2</v>
          </cell>
        </row>
      </sheetData>
      <sheetData sheetId="109">
        <row r="48">
          <cell r="S48">
            <v>0</v>
          </cell>
          <cell r="T48">
            <v>0</v>
          </cell>
        </row>
      </sheetData>
      <sheetData sheetId="110">
        <row r="48">
          <cell r="S48">
            <v>4</v>
          </cell>
          <cell r="T48">
            <v>5</v>
          </cell>
        </row>
      </sheetData>
      <sheetData sheetId="111"/>
      <sheetData sheetId="112">
        <row r="48">
          <cell r="S48">
            <v>15</v>
          </cell>
          <cell r="T48">
            <v>15</v>
          </cell>
        </row>
      </sheetData>
      <sheetData sheetId="113">
        <row r="48">
          <cell r="S48">
            <v>4</v>
          </cell>
          <cell r="T48">
            <v>4</v>
          </cell>
        </row>
      </sheetData>
      <sheetData sheetId="114">
        <row r="48">
          <cell r="S48">
            <v>0</v>
          </cell>
          <cell r="T48">
            <v>0</v>
          </cell>
        </row>
      </sheetData>
      <sheetData sheetId="115">
        <row r="48">
          <cell r="S48">
            <v>0</v>
          </cell>
          <cell r="T48">
            <v>0</v>
          </cell>
        </row>
      </sheetData>
      <sheetData sheetId="116">
        <row r="48">
          <cell r="S48">
            <v>0</v>
          </cell>
          <cell r="T48">
            <v>0</v>
          </cell>
        </row>
      </sheetData>
      <sheetData sheetId="117">
        <row r="48">
          <cell r="S48">
            <v>0</v>
          </cell>
          <cell r="T48">
            <v>0</v>
          </cell>
        </row>
      </sheetData>
      <sheetData sheetId="118"/>
      <sheetData sheetId="119">
        <row r="48">
          <cell r="S48">
            <v>2</v>
          </cell>
          <cell r="T48">
            <v>6</v>
          </cell>
        </row>
      </sheetData>
      <sheetData sheetId="120">
        <row r="48">
          <cell r="S48">
            <v>0</v>
          </cell>
          <cell r="T48">
            <v>0</v>
          </cell>
        </row>
      </sheetData>
      <sheetData sheetId="121">
        <row r="48">
          <cell r="S48">
            <v>0</v>
          </cell>
          <cell r="T48">
            <v>0</v>
          </cell>
        </row>
      </sheetData>
      <sheetData sheetId="122"/>
      <sheetData sheetId="123">
        <row r="48">
          <cell r="S48">
            <v>10</v>
          </cell>
          <cell r="T48">
            <v>12</v>
          </cell>
        </row>
      </sheetData>
      <sheetData sheetId="124">
        <row r="48">
          <cell r="S48">
            <v>4</v>
          </cell>
          <cell r="T48">
            <v>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101"/>
      <sheetName val="117301"/>
      <sheetName val="117701"/>
      <sheetName val="117302"/>
      <sheetName val="117702"/>
      <sheetName val="117799"/>
      <sheetName val="117405"/>
      <sheetName val="117303"/>
      <sheetName val="117410"/>
      <sheetName val="117304"/>
      <sheetName val="200261"/>
      <sheetName val="117322"/>
      <sheetName val="117324"/>
      <sheetName val="117330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09"/>
      <sheetName val="11746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102"/>
      <sheetName val="117329"/>
      <sheetName val="117729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7">
          <cell r="C17">
            <v>2189</v>
          </cell>
        </row>
        <row r="34">
          <cell r="C34">
            <v>1864</v>
          </cell>
        </row>
        <row r="35">
          <cell r="C35">
            <v>424</v>
          </cell>
        </row>
        <row r="36">
          <cell r="C36">
            <v>768</v>
          </cell>
        </row>
        <row r="37">
          <cell r="C37">
            <v>178</v>
          </cell>
        </row>
        <row r="61">
          <cell r="C61">
            <v>1232</v>
          </cell>
        </row>
        <row r="62">
          <cell r="C62">
            <v>89</v>
          </cell>
        </row>
        <row r="63">
          <cell r="C63">
            <v>343</v>
          </cell>
        </row>
        <row r="64">
          <cell r="C64">
            <v>78</v>
          </cell>
        </row>
      </sheetData>
      <sheetData sheetId="8">
        <row r="17">
          <cell r="C17">
            <v>213</v>
          </cell>
        </row>
        <row r="34">
          <cell r="C34">
            <v>184</v>
          </cell>
        </row>
        <row r="35">
          <cell r="C35">
            <v>52</v>
          </cell>
        </row>
        <row r="36">
          <cell r="C36">
            <v>82</v>
          </cell>
        </row>
        <row r="37">
          <cell r="C37">
            <v>37</v>
          </cell>
        </row>
        <row r="61">
          <cell r="C61">
            <v>127</v>
          </cell>
        </row>
        <row r="62">
          <cell r="C62">
            <v>21</v>
          </cell>
        </row>
        <row r="63">
          <cell r="C63">
            <v>26</v>
          </cell>
        </row>
        <row r="64">
          <cell r="C64">
            <v>3</v>
          </cell>
        </row>
      </sheetData>
      <sheetData sheetId="9">
        <row r="17">
          <cell r="C17">
            <v>297</v>
          </cell>
        </row>
        <row r="34">
          <cell r="C34">
            <v>258</v>
          </cell>
        </row>
        <row r="35">
          <cell r="C35">
            <v>38</v>
          </cell>
        </row>
        <row r="36">
          <cell r="C36">
            <v>140</v>
          </cell>
        </row>
        <row r="37">
          <cell r="C37">
            <v>22</v>
          </cell>
        </row>
        <row r="61">
          <cell r="C61">
            <v>202</v>
          </cell>
        </row>
        <row r="62">
          <cell r="C62">
            <v>20</v>
          </cell>
        </row>
        <row r="63">
          <cell r="C63">
            <v>37</v>
          </cell>
        </row>
        <row r="64">
          <cell r="C64">
            <v>11</v>
          </cell>
        </row>
      </sheetData>
      <sheetData sheetId="10">
        <row r="17">
          <cell r="C17">
            <v>230</v>
          </cell>
        </row>
        <row r="34">
          <cell r="C34">
            <v>244</v>
          </cell>
        </row>
        <row r="35">
          <cell r="C35">
            <v>46</v>
          </cell>
        </row>
        <row r="36">
          <cell r="C36">
            <v>118</v>
          </cell>
        </row>
        <row r="37">
          <cell r="C37">
            <v>21</v>
          </cell>
        </row>
        <row r="61">
          <cell r="C61">
            <v>141</v>
          </cell>
        </row>
        <row r="62">
          <cell r="C62">
            <v>5</v>
          </cell>
        </row>
        <row r="63">
          <cell r="C63">
            <v>65</v>
          </cell>
        </row>
        <row r="64">
          <cell r="C64">
            <v>12</v>
          </cell>
        </row>
      </sheetData>
      <sheetData sheetId="11">
        <row r="17">
          <cell r="C17">
            <v>1524</v>
          </cell>
        </row>
        <row r="34">
          <cell r="C34">
            <v>1121</v>
          </cell>
        </row>
        <row r="35">
          <cell r="C35">
            <v>275</v>
          </cell>
        </row>
        <row r="36">
          <cell r="C36">
            <v>590</v>
          </cell>
        </row>
        <row r="37">
          <cell r="C37">
            <v>179</v>
          </cell>
        </row>
        <row r="61">
          <cell r="C61">
            <v>887</v>
          </cell>
        </row>
        <row r="62">
          <cell r="C62">
            <v>43</v>
          </cell>
        </row>
        <row r="63">
          <cell r="C63">
            <v>98</v>
          </cell>
        </row>
        <row r="64">
          <cell r="C64">
            <v>50</v>
          </cell>
        </row>
      </sheetData>
      <sheetData sheetId="12">
        <row r="17">
          <cell r="C17">
            <v>51</v>
          </cell>
        </row>
        <row r="34">
          <cell r="C34">
            <v>35</v>
          </cell>
        </row>
        <row r="35">
          <cell r="C35">
            <v>5</v>
          </cell>
        </row>
        <row r="36">
          <cell r="C36">
            <v>7</v>
          </cell>
        </row>
        <row r="37">
          <cell r="C37">
            <v>6</v>
          </cell>
        </row>
        <row r="61">
          <cell r="C61">
            <v>17</v>
          </cell>
        </row>
        <row r="62">
          <cell r="C62">
            <v>1</v>
          </cell>
        </row>
        <row r="63">
          <cell r="C63">
            <v>8</v>
          </cell>
        </row>
        <row r="64">
          <cell r="C64">
            <v>0</v>
          </cell>
        </row>
      </sheetData>
      <sheetData sheetId="13">
        <row r="17">
          <cell r="C17">
            <v>1663</v>
          </cell>
        </row>
        <row r="34">
          <cell r="C34">
            <v>1445</v>
          </cell>
        </row>
        <row r="35">
          <cell r="C35">
            <v>298</v>
          </cell>
        </row>
        <row r="36">
          <cell r="C36">
            <v>447</v>
          </cell>
        </row>
        <row r="37">
          <cell r="C37">
            <v>165</v>
          </cell>
        </row>
        <row r="61">
          <cell r="C61">
            <v>769</v>
          </cell>
        </row>
        <row r="62">
          <cell r="C62">
            <v>45</v>
          </cell>
        </row>
        <row r="63">
          <cell r="C63">
            <v>168</v>
          </cell>
        </row>
        <row r="64">
          <cell r="C64">
            <v>44</v>
          </cell>
        </row>
      </sheetData>
      <sheetData sheetId="14">
        <row r="17">
          <cell r="C17">
            <v>218</v>
          </cell>
        </row>
        <row r="34">
          <cell r="C34">
            <v>179</v>
          </cell>
        </row>
        <row r="35">
          <cell r="C35">
            <v>18</v>
          </cell>
        </row>
        <row r="36">
          <cell r="C36">
            <v>52</v>
          </cell>
        </row>
        <row r="37">
          <cell r="C37">
            <v>12</v>
          </cell>
        </row>
        <row r="61">
          <cell r="C61">
            <v>172</v>
          </cell>
        </row>
        <row r="62">
          <cell r="C62">
            <v>12</v>
          </cell>
        </row>
        <row r="63">
          <cell r="C63">
            <v>34</v>
          </cell>
        </row>
        <row r="64">
          <cell r="C64">
            <v>8</v>
          </cell>
        </row>
      </sheetData>
      <sheetData sheetId="15">
        <row r="17">
          <cell r="C17">
            <v>404</v>
          </cell>
        </row>
        <row r="34">
          <cell r="C34">
            <v>372</v>
          </cell>
        </row>
        <row r="35">
          <cell r="C35">
            <v>94</v>
          </cell>
        </row>
        <row r="36">
          <cell r="C36">
            <v>161</v>
          </cell>
        </row>
        <row r="37">
          <cell r="C37">
            <v>61</v>
          </cell>
        </row>
        <row r="61">
          <cell r="C61">
            <v>367</v>
          </cell>
        </row>
        <row r="62">
          <cell r="C62">
            <v>6</v>
          </cell>
        </row>
        <row r="63">
          <cell r="C63">
            <v>29</v>
          </cell>
        </row>
        <row r="64">
          <cell r="C64">
            <v>4</v>
          </cell>
        </row>
      </sheetData>
      <sheetData sheetId="16">
        <row r="17">
          <cell r="C17">
            <v>1717</v>
          </cell>
        </row>
        <row r="34">
          <cell r="C34">
            <v>2070</v>
          </cell>
        </row>
        <row r="35">
          <cell r="C35">
            <v>271</v>
          </cell>
        </row>
        <row r="36">
          <cell r="C36">
            <v>604</v>
          </cell>
        </row>
        <row r="37">
          <cell r="C37">
            <v>80</v>
          </cell>
        </row>
        <row r="61">
          <cell r="C61">
            <v>802</v>
          </cell>
        </row>
        <row r="62">
          <cell r="C62">
            <v>58</v>
          </cell>
        </row>
        <row r="63">
          <cell r="C63">
            <v>186</v>
          </cell>
        </row>
        <row r="64">
          <cell r="C64">
            <v>59</v>
          </cell>
        </row>
      </sheetData>
      <sheetData sheetId="17">
        <row r="17">
          <cell r="C17">
            <v>1022</v>
          </cell>
        </row>
        <row r="34">
          <cell r="C34">
            <v>909</v>
          </cell>
        </row>
        <row r="35">
          <cell r="C35">
            <v>92</v>
          </cell>
        </row>
        <row r="36">
          <cell r="C36">
            <v>280</v>
          </cell>
        </row>
        <row r="37">
          <cell r="C37">
            <v>25</v>
          </cell>
        </row>
        <row r="61">
          <cell r="C61">
            <v>617</v>
          </cell>
        </row>
        <row r="62">
          <cell r="C62">
            <v>37</v>
          </cell>
        </row>
        <row r="63">
          <cell r="C63">
            <v>69</v>
          </cell>
        </row>
        <row r="64">
          <cell r="C64">
            <v>38</v>
          </cell>
        </row>
      </sheetData>
      <sheetData sheetId="18"/>
      <sheetData sheetId="19"/>
      <sheetData sheetId="20">
        <row r="17">
          <cell r="C17">
            <v>604</v>
          </cell>
        </row>
        <row r="34">
          <cell r="C34">
            <v>549</v>
          </cell>
        </row>
        <row r="35">
          <cell r="C35">
            <v>106</v>
          </cell>
        </row>
        <row r="36">
          <cell r="C36">
            <v>183</v>
          </cell>
        </row>
        <row r="37">
          <cell r="C37">
            <v>46</v>
          </cell>
        </row>
        <row r="61">
          <cell r="C61">
            <v>489</v>
          </cell>
        </row>
        <row r="62">
          <cell r="C62">
            <v>30</v>
          </cell>
        </row>
        <row r="63">
          <cell r="C63">
            <v>37</v>
          </cell>
        </row>
        <row r="64">
          <cell r="C64">
            <v>28</v>
          </cell>
        </row>
      </sheetData>
      <sheetData sheetId="21">
        <row r="17">
          <cell r="C17">
            <v>315</v>
          </cell>
        </row>
        <row r="34">
          <cell r="C34">
            <v>481</v>
          </cell>
        </row>
        <row r="35">
          <cell r="C35">
            <v>61</v>
          </cell>
        </row>
        <row r="36">
          <cell r="C36">
            <v>95</v>
          </cell>
        </row>
        <row r="37">
          <cell r="C37">
            <v>15</v>
          </cell>
        </row>
        <row r="61">
          <cell r="C61">
            <v>222</v>
          </cell>
        </row>
        <row r="62">
          <cell r="C62">
            <v>18</v>
          </cell>
        </row>
        <row r="63">
          <cell r="C63">
            <v>9</v>
          </cell>
        </row>
        <row r="64">
          <cell r="C64">
            <v>7</v>
          </cell>
        </row>
      </sheetData>
      <sheetData sheetId="22"/>
      <sheetData sheetId="23">
        <row r="17">
          <cell r="C17">
            <v>1574</v>
          </cell>
        </row>
        <row r="34">
          <cell r="C34">
            <v>1176</v>
          </cell>
        </row>
        <row r="35">
          <cell r="C35">
            <v>272</v>
          </cell>
        </row>
        <row r="36">
          <cell r="C36">
            <v>404</v>
          </cell>
        </row>
        <row r="37">
          <cell r="C37">
            <v>103</v>
          </cell>
        </row>
        <row r="61">
          <cell r="C61">
            <v>980</v>
          </cell>
        </row>
        <row r="62">
          <cell r="C62">
            <v>109</v>
          </cell>
        </row>
        <row r="63">
          <cell r="C63">
            <v>202</v>
          </cell>
        </row>
        <row r="64">
          <cell r="C64">
            <v>71</v>
          </cell>
        </row>
      </sheetData>
      <sheetData sheetId="24">
        <row r="17">
          <cell r="C17">
            <v>121</v>
          </cell>
        </row>
        <row r="34">
          <cell r="C34">
            <v>135</v>
          </cell>
        </row>
        <row r="35">
          <cell r="C35">
            <v>25</v>
          </cell>
        </row>
        <row r="36">
          <cell r="C36">
            <v>49</v>
          </cell>
        </row>
        <row r="37">
          <cell r="C37">
            <v>11</v>
          </cell>
        </row>
        <row r="61">
          <cell r="C61">
            <v>77</v>
          </cell>
        </row>
        <row r="62">
          <cell r="C62">
            <v>9</v>
          </cell>
        </row>
        <row r="63">
          <cell r="C63">
            <v>22</v>
          </cell>
        </row>
        <row r="64">
          <cell r="C64">
            <v>6</v>
          </cell>
        </row>
      </sheetData>
      <sheetData sheetId="25">
        <row r="17">
          <cell r="C17">
            <v>79</v>
          </cell>
        </row>
        <row r="34">
          <cell r="C34">
            <v>64</v>
          </cell>
        </row>
        <row r="35">
          <cell r="C35">
            <v>9</v>
          </cell>
        </row>
        <row r="36">
          <cell r="C36">
            <v>14</v>
          </cell>
        </row>
        <row r="37">
          <cell r="C37">
            <v>4</v>
          </cell>
        </row>
        <row r="61">
          <cell r="C61">
            <v>53</v>
          </cell>
        </row>
        <row r="62">
          <cell r="C62">
            <v>2</v>
          </cell>
        </row>
        <row r="63">
          <cell r="C63">
            <v>18</v>
          </cell>
        </row>
        <row r="64">
          <cell r="C64">
            <v>2</v>
          </cell>
        </row>
      </sheetData>
      <sheetData sheetId="26">
        <row r="17">
          <cell r="C17">
            <v>1061</v>
          </cell>
        </row>
        <row r="34">
          <cell r="C34">
            <v>915</v>
          </cell>
        </row>
        <row r="35">
          <cell r="C35">
            <v>136</v>
          </cell>
        </row>
        <row r="36">
          <cell r="C36">
            <v>375</v>
          </cell>
        </row>
        <row r="37">
          <cell r="C37">
            <v>65</v>
          </cell>
        </row>
        <row r="61">
          <cell r="C61">
            <v>736</v>
          </cell>
        </row>
        <row r="62">
          <cell r="C62">
            <v>37</v>
          </cell>
        </row>
        <row r="63">
          <cell r="C63">
            <v>101</v>
          </cell>
        </row>
        <row r="64">
          <cell r="C64">
            <v>36</v>
          </cell>
        </row>
      </sheetData>
      <sheetData sheetId="27"/>
      <sheetData sheetId="28"/>
      <sheetData sheetId="29">
        <row r="17">
          <cell r="C17">
            <v>65</v>
          </cell>
        </row>
        <row r="34">
          <cell r="C34">
            <v>53</v>
          </cell>
        </row>
        <row r="35">
          <cell r="C35">
            <v>13</v>
          </cell>
        </row>
        <row r="36">
          <cell r="C36">
            <v>26</v>
          </cell>
        </row>
        <row r="37">
          <cell r="C37">
            <v>6</v>
          </cell>
        </row>
        <row r="61">
          <cell r="C61">
            <v>47</v>
          </cell>
        </row>
        <row r="62">
          <cell r="C62">
            <v>3</v>
          </cell>
        </row>
        <row r="63">
          <cell r="C63">
            <v>1</v>
          </cell>
        </row>
        <row r="64">
          <cell r="C64">
            <v>0</v>
          </cell>
        </row>
      </sheetData>
      <sheetData sheetId="30">
        <row r="17">
          <cell r="C17">
            <v>36</v>
          </cell>
        </row>
        <row r="34">
          <cell r="C34">
            <v>44</v>
          </cell>
        </row>
        <row r="35">
          <cell r="C35">
            <v>14</v>
          </cell>
        </row>
        <row r="36">
          <cell r="C36">
            <v>9</v>
          </cell>
        </row>
        <row r="37">
          <cell r="C37">
            <v>0</v>
          </cell>
        </row>
        <row r="61">
          <cell r="C61">
            <v>25</v>
          </cell>
        </row>
        <row r="62">
          <cell r="C62">
            <v>0</v>
          </cell>
        </row>
        <row r="63">
          <cell r="C63">
            <v>1</v>
          </cell>
        </row>
        <row r="64">
          <cell r="C64">
            <v>0</v>
          </cell>
        </row>
      </sheetData>
      <sheetData sheetId="31">
        <row r="17">
          <cell r="C17">
            <v>28</v>
          </cell>
        </row>
        <row r="34">
          <cell r="C34">
            <v>36</v>
          </cell>
        </row>
        <row r="35">
          <cell r="C35">
            <v>7</v>
          </cell>
        </row>
        <row r="36">
          <cell r="C36">
            <v>10</v>
          </cell>
        </row>
        <row r="37">
          <cell r="C37">
            <v>3</v>
          </cell>
        </row>
        <row r="61">
          <cell r="C61">
            <v>23</v>
          </cell>
        </row>
        <row r="62">
          <cell r="C62">
            <v>0</v>
          </cell>
        </row>
        <row r="63">
          <cell r="C63">
            <v>1</v>
          </cell>
        </row>
        <row r="64">
          <cell r="C64">
            <v>0</v>
          </cell>
        </row>
      </sheetData>
      <sheetData sheetId="32">
        <row r="17">
          <cell r="C17">
            <v>25</v>
          </cell>
        </row>
        <row r="34">
          <cell r="C34">
            <v>22</v>
          </cell>
        </row>
        <row r="35">
          <cell r="C35">
            <v>2</v>
          </cell>
        </row>
        <row r="36">
          <cell r="C36">
            <v>10</v>
          </cell>
        </row>
        <row r="37">
          <cell r="C37">
            <v>2</v>
          </cell>
        </row>
        <row r="61">
          <cell r="C61">
            <v>20</v>
          </cell>
        </row>
        <row r="62">
          <cell r="C62">
            <v>0</v>
          </cell>
        </row>
        <row r="63">
          <cell r="C63">
            <v>3</v>
          </cell>
        </row>
        <row r="64">
          <cell r="C64">
            <v>0</v>
          </cell>
        </row>
      </sheetData>
      <sheetData sheetId="33">
        <row r="17">
          <cell r="C17">
            <v>42</v>
          </cell>
        </row>
        <row r="34">
          <cell r="C34">
            <v>53</v>
          </cell>
        </row>
        <row r="35">
          <cell r="C35">
            <v>12</v>
          </cell>
        </row>
        <row r="36">
          <cell r="C36">
            <v>14</v>
          </cell>
        </row>
        <row r="37">
          <cell r="C37">
            <v>1</v>
          </cell>
        </row>
        <row r="61">
          <cell r="C61">
            <v>32</v>
          </cell>
        </row>
        <row r="62">
          <cell r="C62">
            <v>2</v>
          </cell>
        </row>
        <row r="63">
          <cell r="C63">
            <v>1</v>
          </cell>
        </row>
        <row r="64">
          <cell r="C64">
            <v>3</v>
          </cell>
        </row>
      </sheetData>
      <sheetData sheetId="34">
        <row r="17">
          <cell r="C17">
            <v>25</v>
          </cell>
        </row>
        <row r="34">
          <cell r="C34">
            <v>22</v>
          </cell>
        </row>
        <row r="35">
          <cell r="C35">
            <v>2</v>
          </cell>
        </row>
        <row r="36">
          <cell r="C36">
            <v>9</v>
          </cell>
        </row>
        <row r="37">
          <cell r="C37">
            <v>0</v>
          </cell>
        </row>
        <row r="61">
          <cell r="C61">
            <v>18</v>
          </cell>
        </row>
        <row r="62">
          <cell r="C62">
            <v>0</v>
          </cell>
        </row>
        <row r="63">
          <cell r="C63">
            <v>2</v>
          </cell>
        </row>
        <row r="64">
          <cell r="C64">
            <v>0</v>
          </cell>
        </row>
      </sheetData>
      <sheetData sheetId="35">
        <row r="17">
          <cell r="C17">
            <v>35</v>
          </cell>
        </row>
        <row r="34">
          <cell r="C34">
            <v>26</v>
          </cell>
        </row>
        <row r="35">
          <cell r="C35">
            <v>4</v>
          </cell>
        </row>
        <row r="36">
          <cell r="C36">
            <v>9</v>
          </cell>
        </row>
        <row r="37">
          <cell r="C37">
            <v>2</v>
          </cell>
        </row>
        <row r="61">
          <cell r="C61">
            <v>17</v>
          </cell>
        </row>
        <row r="62">
          <cell r="C62">
            <v>1</v>
          </cell>
        </row>
        <row r="63">
          <cell r="C63">
            <v>3</v>
          </cell>
        </row>
        <row r="64">
          <cell r="C64">
            <v>0</v>
          </cell>
        </row>
      </sheetData>
      <sheetData sheetId="36">
        <row r="17">
          <cell r="C17">
            <v>40</v>
          </cell>
        </row>
        <row r="34">
          <cell r="C34">
            <v>38</v>
          </cell>
        </row>
        <row r="35">
          <cell r="C35">
            <v>1</v>
          </cell>
        </row>
        <row r="36">
          <cell r="C36">
            <v>6</v>
          </cell>
        </row>
        <row r="37">
          <cell r="C37">
            <v>1</v>
          </cell>
        </row>
        <row r="61">
          <cell r="C61">
            <v>21</v>
          </cell>
        </row>
        <row r="62">
          <cell r="C62">
            <v>0</v>
          </cell>
        </row>
        <row r="63">
          <cell r="C63">
            <v>4</v>
          </cell>
        </row>
        <row r="64">
          <cell r="C64">
            <v>2</v>
          </cell>
        </row>
      </sheetData>
      <sheetData sheetId="37">
        <row r="17">
          <cell r="C17">
            <v>14</v>
          </cell>
        </row>
        <row r="34">
          <cell r="C34">
            <v>19</v>
          </cell>
        </row>
        <row r="35">
          <cell r="C35">
            <v>5</v>
          </cell>
        </row>
        <row r="36">
          <cell r="C36">
            <v>3</v>
          </cell>
        </row>
        <row r="37">
          <cell r="C37">
            <v>0</v>
          </cell>
        </row>
        <row r="61">
          <cell r="C61">
            <v>12</v>
          </cell>
        </row>
        <row r="62">
          <cell r="C62">
            <v>0</v>
          </cell>
        </row>
        <row r="63">
          <cell r="C63">
            <v>0</v>
          </cell>
        </row>
        <row r="64">
          <cell r="C64">
            <v>1</v>
          </cell>
        </row>
      </sheetData>
      <sheetData sheetId="38">
        <row r="17">
          <cell r="C17">
            <v>69</v>
          </cell>
        </row>
        <row r="34">
          <cell r="C34">
            <v>62</v>
          </cell>
        </row>
        <row r="35">
          <cell r="C35">
            <v>13</v>
          </cell>
        </row>
        <row r="36">
          <cell r="C36">
            <v>25</v>
          </cell>
        </row>
        <row r="37">
          <cell r="C37">
            <v>9</v>
          </cell>
        </row>
        <row r="61">
          <cell r="C61">
            <v>44</v>
          </cell>
        </row>
        <row r="62">
          <cell r="C62">
            <v>2</v>
          </cell>
        </row>
        <row r="63">
          <cell r="C63">
            <v>9</v>
          </cell>
        </row>
        <row r="64">
          <cell r="C64">
            <v>3</v>
          </cell>
        </row>
      </sheetData>
      <sheetData sheetId="39"/>
      <sheetData sheetId="40">
        <row r="17">
          <cell r="C17">
            <v>803</v>
          </cell>
        </row>
        <row r="34">
          <cell r="C34">
            <v>924</v>
          </cell>
        </row>
        <row r="35">
          <cell r="C35">
            <v>163</v>
          </cell>
        </row>
        <row r="36">
          <cell r="C36">
            <v>298</v>
          </cell>
        </row>
        <row r="37">
          <cell r="C37">
            <v>74</v>
          </cell>
        </row>
        <row r="61">
          <cell r="C61">
            <v>507</v>
          </cell>
        </row>
        <row r="62">
          <cell r="C62">
            <v>37</v>
          </cell>
        </row>
        <row r="63">
          <cell r="C63">
            <v>69</v>
          </cell>
        </row>
        <row r="64">
          <cell r="C64">
            <v>24</v>
          </cell>
        </row>
      </sheetData>
      <sheetData sheetId="41">
        <row r="17">
          <cell r="C17">
            <v>39</v>
          </cell>
        </row>
        <row r="34">
          <cell r="C34">
            <v>71</v>
          </cell>
        </row>
        <row r="35">
          <cell r="C35">
            <v>16</v>
          </cell>
        </row>
        <row r="36">
          <cell r="C36">
            <v>16</v>
          </cell>
        </row>
        <row r="37">
          <cell r="C37">
            <v>4</v>
          </cell>
        </row>
        <row r="61">
          <cell r="C61">
            <v>31</v>
          </cell>
        </row>
        <row r="62">
          <cell r="C62">
            <v>1</v>
          </cell>
        </row>
        <row r="63">
          <cell r="C63">
            <v>2</v>
          </cell>
        </row>
        <row r="64">
          <cell r="C64">
            <v>0</v>
          </cell>
        </row>
      </sheetData>
      <sheetData sheetId="42">
        <row r="17">
          <cell r="C17">
            <v>47</v>
          </cell>
        </row>
        <row r="34">
          <cell r="C34">
            <v>62</v>
          </cell>
        </row>
        <row r="35">
          <cell r="C35">
            <v>17</v>
          </cell>
        </row>
        <row r="36">
          <cell r="C36">
            <v>21</v>
          </cell>
        </row>
        <row r="37">
          <cell r="C37">
            <v>8</v>
          </cell>
        </row>
        <row r="61">
          <cell r="C61">
            <v>31</v>
          </cell>
        </row>
        <row r="62">
          <cell r="C62">
            <v>1</v>
          </cell>
        </row>
        <row r="63">
          <cell r="C63">
            <v>4</v>
          </cell>
        </row>
        <row r="64">
          <cell r="C64">
            <v>2</v>
          </cell>
        </row>
      </sheetData>
      <sheetData sheetId="43"/>
      <sheetData sheetId="44">
        <row r="17">
          <cell r="C17">
            <v>939</v>
          </cell>
        </row>
        <row r="34">
          <cell r="C34">
            <v>842</v>
          </cell>
        </row>
        <row r="35">
          <cell r="C35">
            <v>188</v>
          </cell>
        </row>
        <row r="36">
          <cell r="C36">
            <v>254</v>
          </cell>
        </row>
        <row r="37">
          <cell r="C37">
            <v>63</v>
          </cell>
        </row>
        <row r="61">
          <cell r="C61">
            <v>722</v>
          </cell>
        </row>
        <row r="62">
          <cell r="C62">
            <v>29</v>
          </cell>
        </row>
        <row r="63">
          <cell r="C63">
            <v>85</v>
          </cell>
        </row>
        <row r="64">
          <cell r="C64">
            <v>14</v>
          </cell>
        </row>
      </sheetData>
      <sheetData sheetId="45">
        <row r="17">
          <cell r="C17">
            <v>350</v>
          </cell>
        </row>
        <row r="34">
          <cell r="C34">
            <v>331</v>
          </cell>
        </row>
        <row r="35">
          <cell r="C35">
            <v>73</v>
          </cell>
        </row>
        <row r="36">
          <cell r="C36">
            <v>129</v>
          </cell>
        </row>
        <row r="37">
          <cell r="C37">
            <v>16</v>
          </cell>
        </row>
        <row r="61">
          <cell r="C61">
            <v>263</v>
          </cell>
        </row>
        <row r="62">
          <cell r="C62">
            <v>16</v>
          </cell>
        </row>
        <row r="63">
          <cell r="C63">
            <v>27</v>
          </cell>
        </row>
        <row r="64">
          <cell r="C64">
            <v>2</v>
          </cell>
        </row>
      </sheetData>
      <sheetData sheetId="46">
        <row r="17">
          <cell r="C17">
            <v>33</v>
          </cell>
        </row>
        <row r="34">
          <cell r="C34">
            <v>49</v>
          </cell>
        </row>
        <row r="35">
          <cell r="C35">
            <v>7</v>
          </cell>
        </row>
        <row r="36">
          <cell r="C36">
            <v>12</v>
          </cell>
        </row>
        <row r="37">
          <cell r="C37">
            <v>0</v>
          </cell>
        </row>
        <row r="61">
          <cell r="C61">
            <v>18</v>
          </cell>
        </row>
        <row r="62">
          <cell r="C62">
            <v>5</v>
          </cell>
        </row>
        <row r="63">
          <cell r="C63">
            <v>2</v>
          </cell>
        </row>
        <row r="64">
          <cell r="C64">
            <v>0</v>
          </cell>
        </row>
      </sheetData>
      <sheetData sheetId="47"/>
      <sheetData sheetId="48">
        <row r="17">
          <cell r="C17">
            <v>1797</v>
          </cell>
        </row>
        <row r="34">
          <cell r="C34">
            <v>1176</v>
          </cell>
        </row>
        <row r="35">
          <cell r="C35">
            <v>316</v>
          </cell>
        </row>
        <row r="36">
          <cell r="C36">
            <v>477</v>
          </cell>
        </row>
        <row r="37">
          <cell r="C37">
            <v>139</v>
          </cell>
        </row>
        <row r="61">
          <cell r="C61">
            <v>1247</v>
          </cell>
        </row>
        <row r="62">
          <cell r="C62">
            <v>104</v>
          </cell>
        </row>
        <row r="63">
          <cell r="C63">
            <v>124</v>
          </cell>
        </row>
        <row r="64">
          <cell r="C64">
            <v>57</v>
          </cell>
        </row>
      </sheetData>
      <sheetData sheetId="49">
        <row r="17">
          <cell r="C17">
            <v>292</v>
          </cell>
        </row>
        <row r="34">
          <cell r="C34">
            <v>185</v>
          </cell>
        </row>
        <row r="35">
          <cell r="C35">
            <v>41</v>
          </cell>
        </row>
        <row r="36">
          <cell r="C36">
            <v>80</v>
          </cell>
        </row>
        <row r="37">
          <cell r="C37">
            <v>17</v>
          </cell>
        </row>
        <row r="61">
          <cell r="C61">
            <v>224</v>
          </cell>
        </row>
        <row r="62">
          <cell r="C62">
            <v>10</v>
          </cell>
        </row>
        <row r="63">
          <cell r="C63">
            <v>40</v>
          </cell>
        </row>
        <row r="64">
          <cell r="C64">
            <v>8</v>
          </cell>
        </row>
      </sheetData>
      <sheetData sheetId="50">
        <row r="17">
          <cell r="C17">
            <v>100</v>
          </cell>
        </row>
        <row r="34">
          <cell r="C34">
            <v>112</v>
          </cell>
        </row>
        <row r="35">
          <cell r="C35">
            <v>32</v>
          </cell>
        </row>
        <row r="36">
          <cell r="C36">
            <v>41</v>
          </cell>
        </row>
        <row r="37">
          <cell r="C37">
            <v>16</v>
          </cell>
        </row>
        <row r="61">
          <cell r="C61">
            <v>81</v>
          </cell>
        </row>
        <row r="62">
          <cell r="C62">
            <v>8</v>
          </cell>
        </row>
        <row r="63">
          <cell r="C63">
            <v>15</v>
          </cell>
        </row>
        <row r="64">
          <cell r="C64">
            <v>1</v>
          </cell>
        </row>
      </sheetData>
      <sheetData sheetId="51">
        <row r="17">
          <cell r="C17">
            <v>54</v>
          </cell>
        </row>
        <row r="34">
          <cell r="C34">
            <v>48</v>
          </cell>
        </row>
        <row r="35">
          <cell r="C35">
            <v>17</v>
          </cell>
        </row>
        <row r="36">
          <cell r="C36">
            <v>26</v>
          </cell>
        </row>
        <row r="37">
          <cell r="C37">
            <v>9</v>
          </cell>
        </row>
        <row r="61">
          <cell r="C61">
            <v>37</v>
          </cell>
        </row>
        <row r="62">
          <cell r="C62">
            <v>5</v>
          </cell>
        </row>
        <row r="63">
          <cell r="C63">
            <v>9</v>
          </cell>
        </row>
        <row r="64">
          <cell r="C64">
            <v>2</v>
          </cell>
        </row>
      </sheetData>
      <sheetData sheetId="52">
        <row r="17">
          <cell r="C17">
            <v>14</v>
          </cell>
        </row>
        <row r="34">
          <cell r="C34">
            <v>25</v>
          </cell>
        </row>
        <row r="35">
          <cell r="C35">
            <v>3</v>
          </cell>
        </row>
        <row r="36">
          <cell r="C36">
            <v>3</v>
          </cell>
        </row>
        <row r="37">
          <cell r="C37">
            <v>1</v>
          </cell>
        </row>
        <row r="61">
          <cell r="C61">
            <v>10</v>
          </cell>
        </row>
        <row r="62">
          <cell r="C62">
            <v>2</v>
          </cell>
        </row>
        <row r="63">
          <cell r="C63">
            <v>0</v>
          </cell>
        </row>
        <row r="64">
          <cell r="C64">
            <v>0</v>
          </cell>
        </row>
      </sheetData>
      <sheetData sheetId="53"/>
      <sheetData sheetId="54">
        <row r="17">
          <cell r="C17">
            <v>853</v>
          </cell>
        </row>
        <row r="34">
          <cell r="C34">
            <v>1004</v>
          </cell>
        </row>
        <row r="35">
          <cell r="C35">
            <v>199</v>
          </cell>
        </row>
        <row r="36">
          <cell r="C36">
            <v>187</v>
          </cell>
        </row>
        <row r="37">
          <cell r="C37">
            <v>34</v>
          </cell>
        </row>
        <row r="61">
          <cell r="C61">
            <v>687</v>
          </cell>
        </row>
        <row r="62">
          <cell r="C62">
            <v>38</v>
          </cell>
        </row>
        <row r="63">
          <cell r="C63">
            <v>87</v>
          </cell>
        </row>
        <row r="64">
          <cell r="C64">
            <v>23</v>
          </cell>
        </row>
      </sheetData>
      <sheetData sheetId="55">
        <row r="17">
          <cell r="C17">
            <v>21</v>
          </cell>
        </row>
        <row r="34">
          <cell r="C34">
            <v>44</v>
          </cell>
        </row>
        <row r="35">
          <cell r="C35">
            <v>4</v>
          </cell>
        </row>
        <row r="36">
          <cell r="C36">
            <v>9</v>
          </cell>
        </row>
        <row r="37">
          <cell r="C37">
            <v>2</v>
          </cell>
        </row>
        <row r="61">
          <cell r="C61">
            <v>14</v>
          </cell>
        </row>
        <row r="62">
          <cell r="C62">
            <v>3</v>
          </cell>
        </row>
        <row r="63">
          <cell r="C63">
            <v>2</v>
          </cell>
        </row>
        <row r="64">
          <cell r="C64">
            <v>0</v>
          </cell>
        </row>
      </sheetData>
      <sheetData sheetId="56">
        <row r="17">
          <cell r="C17">
            <v>600</v>
          </cell>
        </row>
        <row r="34">
          <cell r="C34">
            <v>562</v>
          </cell>
        </row>
        <row r="35">
          <cell r="C35">
            <v>93</v>
          </cell>
        </row>
        <row r="36">
          <cell r="C36">
            <v>155</v>
          </cell>
        </row>
        <row r="37">
          <cell r="C37">
            <v>50</v>
          </cell>
        </row>
        <row r="61">
          <cell r="C61">
            <v>483</v>
          </cell>
        </row>
        <row r="62">
          <cell r="C62">
            <v>18</v>
          </cell>
        </row>
        <row r="63">
          <cell r="C63">
            <v>26</v>
          </cell>
        </row>
        <row r="64">
          <cell r="C64">
            <v>4</v>
          </cell>
        </row>
      </sheetData>
      <sheetData sheetId="57">
        <row r="17">
          <cell r="C17">
            <v>415</v>
          </cell>
        </row>
        <row r="34">
          <cell r="C34">
            <v>286</v>
          </cell>
        </row>
        <row r="35">
          <cell r="C35">
            <v>50</v>
          </cell>
        </row>
        <row r="36">
          <cell r="C36">
            <v>70</v>
          </cell>
        </row>
        <row r="37">
          <cell r="C37">
            <v>9</v>
          </cell>
        </row>
        <row r="61">
          <cell r="C61">
            <v>164</v>
          </cell>
        </row>
        <row r="62">
          <cell r="C62">
            <v>11</v>
          </cell>
        </row>
        <row r="63">
          <cell r="C63">
            <v>41</v>
          </cell>
        </row>
        <row r="64">
          <cell r="C64">
            <v>3</v>
          </cell>
        </row>
      </sheetData>
      <sheetData sheetId="58"/>
      <sheetData sheetId="59"/>
      <sheetData sheetId="60">
        <row r="17">
          <cell r="C17">
            <v>410</v>
          </cell>
        </row>
        <row r="34">
          <cell r="C34">
            <v>404</v>
          </cell>
        </row>
        <row r="35">
          <cell r="C35">
            <v>95</v>
          </cell>
        </row>
        <row r="36">
          <cell r="C36">
            <v>124</v>
          </cell>
        </row>
        <row r="37">
          <cell r="C37">
            <v>32</v>
          </cell>
        </row>
        <row r="61">
          <cell r="C61">
            <v>302</v>
          </cell>
        </row>
        <row r="62">
          <cell r="C62">
            <v>24</v>
          </cell>
        </row>
        <row r="63">
          <cell r="C63">
            <v>22</v>
          </cell>
        </row>
        <row r="64">
          <cell r="C64">
            <v>7</v>
          </cell>
        </row>
      </sheetData>
      <sheetData sheetId="61">
        <row r="17">
          <cell r="C17">
            <v>51</v>
          </cell>
        </row>
        <row r="34">
          <cell r="C34">
            <v>67</v>
          </cell>
        </row>
        <row r="35">
          <cell r="C35">
            <v>17</v>
          </cell>
        </row>
        <row r="36">
          <cell r="C36">
            <v>16</v>
          </cell>
        </row>
        <row r="37">
          <cell r="C37">
            <v>4</v>
          </cell>
        </row>
        <row r="61">
          <cell r="C61">
            <v>47</v>
          </cell>
        </row>
        <row r="62">
          <cell r="C62">
            <v>1</v>
          </cell>
        </row>
        <row r="63">
          <cell r="C63">
            <v>2</v>
          </cell>
        </row>
        <row r="64">
          <cell r="C64">
            <v>0</v>
          </cell>
        </row>
      </sheetData>
      <sheetData sheetId="62"/>
      <sheetData sheetId="63"/>
      <sheetData sheetId="64"/>
      <sheetData sheetId="65">
        <row r="17">
          <cell r="C17">
            <v>54</v>
          </cell>
        </row>
        <row r="34">
          <cell r="C34">
            <v>30</v>
          </cell>
        </row>
        <row r="35">
          <cell r="C35">
            <v>4</v>
          </cell>
        </row>
        <row r="36">
          <cell r="C36">
            <v>33</v>
          </cell>
        </row>
        <row r="37">
          <cell r="C37">
            <v>6</v>
          </cell>
        </row>
        <row r="61">
          <cell r="C61">
            <v>39</v>
          </cell>
        </row>
        <row r="62">
          <cell r="C62">
            <v>5</v>
          </cell>
        </row>
        <row r="63">
          <cell r="C63">
            <v>3</v>
          </cell>
        </row>
        <row r="64">
          <cell r="C64">
            <v>1</v>
          </cell>
        </row>
      </sheetData>
      <sheetData sheetId="66"/>
      <sheetData sheetId="67">
        <row r="17">
          <cell r="C17">
            <v>350</v>
          </cell>
        </row>
        <row r="34">
          <cell r="C34">
            <v>443</v>
          </cell>
        </row>
        <row r="35">
          <cell r="C35">
            <v>95</v>
          </cell>
        </row>
        <row r="36">
          <cell r="C36">
            <v>92</v>
          </cell>
        </row>
        <row r="37">
          <cell r="C37">
            <v>22</v>
          </cell>
        </row>
        <row r="61">
          <cell r="C61">
            <v>240</v>
          </cell>
        </row>
        <row r="62">
          <cell r="C62">
            <v>19</v>
          </cell>
        </row>
        <row r="63">
          <cell r="C63">
            <v>31</v>
          </cell>
        </row>
        <row r="64">
          <cell r="C64">
            <v>6</v>
          </cell>
        </row>
      </sheetData>
      <sheetData sheetId="68">
        <row r="17">
          <cell r="C17">
            <v>117</v>
          </cell>
        </row>
        <row r="34">
          <cell r="C34">
            <v>127</v>
          </cell>
        </row>
        <row r="35">
          <cell r="C35">
            <v>52</v>
          </cell>
        </row>
        <row r="36">
          <cell r="C36">
            <v>39</v>
          </cell>
        </row>
        <row r="37">
          <cell r="C37">
            <v>18</v>
          </cell>
        </row>
        <row r="61">
          <cell r="C61">
            <v>75</v>
          </cell>
        </row>
        <row r="62">
          <cell r="C62">
            <v>5</v>
          </cell>
        </row>
        <row r="63">
          <cell r="C63">
            <v>21</v>
          </cell>
        </row>
        <row r="64">
          <cell r="C64">
            <v>1</v>
          </cell>
        </row>
      </sheetData>
      <sheetData sheetId="69">
        <row r="17">
          <cell r="C17">
            <v>34</v>
          </cell>
        </row>
        <row r="34">
          <cell r="C34">
            <v>60</v>
          </cell>
        </row>
        <row r="35">
          <cell r="C35">
            <v>11</v>
          </cell>
        </row>
        <row r="36">
          <cell r="C36">
            <v>15</v>
          </cell>
        </row>
        <row r="37">
          <cell r="C37">
            <v>1</v>
          </cell>
        </row>
        <row r="61">
          <cell r="C61">
            <v>28</v>
          </cell>
        </row>
        <row r="62">
          <cell r="C62">
            <v>0</v>
          </cell>
        </row>
        <row r="63">
          <cell r="C63">
            <v>5</v>
          </cell>
        </row>
        <row r="64">
          <cell r="C64">
            <v>1</v>
          </cell>
        </row>
      </sheetData>
      <sheetData sheetId="70"/>
      <sheetData sheetId="71"/>
      <sheetData sheetId="72">
        <row r="17">
          <cell r="C17">
            <v>76</v>
          </cell>
        </row>
        <row r="34">
          <cell r="C34">
            <v>77</v>
          </cell>
        </row>
        <row r="35">
          <cell r="C35">
            <v>20</v>
          </cell>
        </row>
        <row r="36">
          <cell r="C36">
            <v>20</v>
          </cell>
        </row>
        <row r="37">
          <cell r="C37">
            <v>1</v>
          </cell>
        </row>
        <row r="61">
          <cell r="C61">
            <v>38</v>
          </cell>
        </row>
        <row r="62">
          <cell r="C62">
            <v>7</v>
          </cell>
        </row>
        <row r="63">
          <cell r="C63">
            <v>7</v>
          </cell>
        </row>
        <row r="64">
          <cell r="C64">
            <v>2</v>
          </cell>
        </row>
      </sheetData>
      <sheetData sheetId="73">
        <row r="17">
          <cell r="C17">
            <v>121</v>
          </cell>
        </row>
        <row r="34">
          <cell r="C34">
            <v>147</v>
          </cell>
        </row>
        <row r="35">
          <cell r="C35">
            <v>32</v>
          </cell>
        </row>
        <row r="36">
          <cell r="C36">
            <v>26</v>
          </cell>
        </row>
        <row r="37">
          <cell r="C37">
            <v>7</v>
          </cell>
        </row>
        <row r="61">
          <cell r="C61">
            <v>55</v>
          </cell>
        </row>
        <row r="62">
          <cell r="C62">
            <v>14</v>
          </cell>
        </row>
        <row r="63">
          <cell r="C63">
            <v>10</v>
          </cell>
        </row>
        <row r="64">
          <cell r="C64">
            <v>4</v>
          </cell>
        </row>
      </sheetData>
      <sheetData sheetId="74">
        <row r="17">
          <cell r="C17">
            <v>103</v>
          </cell>
        </row>
        <row r="34">
          <cell r="C34">
            <v>85</v>
          </cell>
        </row>
        <row r="35">
          <cell r="C35">
            <v>10</v>
          </cell>
        </row>
        <row r="36">
          <cell r="C36">
            <v>43</v>
          </cell>
        </row>
        <row r="37">
          <cell r="C37">
            <v>6</v>
          </cell>
        </row>
        <row r="61">
          <cell r="C61">
            <v>60</v>
          </cell>
        </row>
        <row r="62">
          <cell r="C62">
            <v>10</v>
          </cell>
        </row>
        <row r="63">
          <cell r="C63">
            <v>11</v>
          </cell>
        </row>
        <row r="64">
          <cell r="C64">
            <v>6</v>
          </cell>
        </row>
      </sheetData>
      <sheetData sheetId="75"/>
      <sheetData sheetId="76">
        <row r="17">
          <cell r="C17">
            <v>734</v>
          </cell>
        </row>
        <row r="34">
          <cell r="C34">
            <v>609</v>
          </cell>
        </row>
        <row r="35">
          <cell r="C35">
            <v>142</v>
          </cell>
        </row>
        <row r="36">
          <cell r="C36">
            <v>222</v>
          </cell>
        </row>
        <row r="37">
          <cell r="C37">
            <v>76</v>
          </cell>
        </row>
        <row r="61">
          <cell r="C61">
            <v>565</v>
          </cell>
        </row>
        <row r="62">
          <cell r="C62">
            <v>25</v>
          </cell>
        </row>
        <row r="63">
          <cell r="C63">
            <v>51</v>
          </cell>
        </row>
        <row r="64">
          <cell r="C64">
            <v>17</v>
          </cell>
        </row>
      </sheetData>
      <sheetData sheetId="77">
        <row r="17">
          <cell r="C17">
            <v>41</v>
          </cell>
        </row>
        <row r="34">
          <cell r="C34">
            <v>66</v>
          </cell>
        </row>
        <row r="35">
          <cell r="C35">
            <v>25</v>
          </cell>
        </row>
        <row r="36">
          <cell r="C36">
            <v>24</v>
          </cell>
        </row>
        <row r="37">
          <cell r="C37">
            <v>3</v>
          </cell>
        </row>
        <row r="61">
          <cell r="C61">
            <v>37</v>
          </cell>
        </row>
        <row r="62">
          <cell r="C62">
            <v>2</v>
          </cell>
        </row>
        <row r="63">
          <cell r="C63">
            <v>1</v>
          </cell>
        </row>
        <row r="64">
          <cell r="C64">
            <v>0</v>
          </cell>
        </row>
      </sheetData>
      <sheetData sheetId="78">
        <row r="17">
          <cell r="C17">
            <v>59</v>
          </cell>
        </row>
        <row r="34">
          <cell r="C34">
            <v>52</v>
          </cell>
        </row>
        <row r="35">
          <cell r="C35">
            <v>11</v>
          </cell>
        </row>
        <row r="36">
          <cell r="C36">
            <v>18</v>
          </cell>
        </row>
        <row r="37">
          <cell r="C37">
            <v>4</v>
          </cell>
        </row>
        <row r="61">
          <cell r="C61">
            <v>47</v>
          </cell>
        </row>
        <row r="62">
          <cell r="C62">
            <v>1</v>
          </cell>
        </row>
        <row r="63">
          <cell r="C63">
            <v>4</v>
          </cell>
        </row>
        <row r="64">
          <cell r="C64">
            <v>1</v>
          </cell>
        </row>
      </sheetData>
      <sheetData sheetId="79"/>
      <sheetData sheetId="80">
        <row r="17">
          <cell r="C17">
            <v>583</v>
          </cell>
        </row>
        <row r="34">
          <cell r="C34">
            <v>517</v>
          </cell>
        </row>
        <row r="35">
          <cell r="C35">
            <v>133</v>
          </cell>
        </row>
        <row r="36">
          <cell r="C36">
            <v>132</v>
          </cell>
        </row>
        <row r="37">
          <cell r="C37">
            <v>55</v>
          </cell>
        </row>
        <row r="61">
          <cell r="C61">
            <v>452</v>
          </cell>
        </row>
        <row r="62">
          <cell r="C62">
            <v>15</v>
          </cell>
        </row>
        <row r="63">
          <cell r="C63">
            <v>17</v>
          </cell>
        </row>
        <row r="64">
          <cell r="C64">
            <v>9</v>
          </cell>
        </row>
      </sheetData>
      <sheetData sheetId="81">
        <row r="17">
          <cell r="C17">
            <v>67</v>
          </cell>
        </row>
        <row r="34">
          <cell r="C34">
            <v>38</v>
          </cell>
        </row>
        <row r="35">
          <cell r="C35">
            <v>19</v>
          </cell>
        </row>
        <row r="36">
          <cell r="C36">
            <v>25</v>
          </cell>
        </row>
        <row r="37">
          <cell r="C37">
            <v>8</v>
          </cell>
        </row>
        <row r="61">
          <cell r="C61">
            <v>50</v>
          </cell>
        </row>
        <row r="62">
          <cell r="C62">
            <v>1</v>
          </cell>
        </row>
        <row r="63">
          <cell r="C63">
            <v>3</v>
          </cell>
        </row>
        <row r="64">
          <cell r="C64">
            <v>0</v>
          </cell>
        </row>
      </sheetData>
      <sheetData sheetId="82">
        <row r="17">
          <cell r="C17">
            <v>62</v>
          </cell>
        </row>
        <row r="34">
          <cell r="C34">
            <v>6</v>
          </cell>
        </row>
        <row r="35">
          <cell r="C35">
            <v>1</v>
          </cell>
        </row>
        <row r="36">
          <cell r="C36">
            <v>13</v>
          </cell>
        </row>
        <row r="37">
          <cell r="C37">
            <v>1</v>
          </cell>
        </row>
        <row r="61">
          <cell r="C61">
            <v>47</v>
          </cell>
        </row>
        <row r="62">
          <cell r="C62">
            <v>2</v>
          </cell>
        </row>
        <row r="63">
          <cell r="C63">
            <v>1</v>
          </cell>
        </row>
        <row r="64">
          <cell r="C64">
            <v>1</v>
          </cell>
        </row>
      </sheetData>
      <sheetData sheetId="83"/>
      <sheetData sheetId="84">
        <row r="17">
          <cell r="C17">
            <v>571</v>
          </cell>
        </row>
        <row r="34">
          <cell r="C34">
            <v>582</v>
          </cell>
        </row>
        <row r="35">
          <cell r="C35">
            <v>157</v>
          </cell>
        </row>
        <row r="36">
          <cell r="C36">
            <v>213</v>
          </cell>
        </row>
        <row r="37">
          <cell r="C37">
            <v>40</v>
          </cell>
        </row>
        <row r="61">
          <cell r="C61">
            <v>461</v>
          </cell>
        </row>
        <row r="62">
          <cell r="C62">
            <v>23</v>
          </cell>
        </row>
        <row r="63">
          <cell r="C63">
            <v>19</v>
          </cell>
        </row>
        <row r="64">
          <cell r="C64">
            <v>18</v>
          </cell>
        </row>
      </sheetData>
      <sheetData sheetId="85">
        <row r="17">
          <cell r="C17">
            <v>42</v>
          </cell>
        </row>
        <row r="34">
          <cell r="C34">
            <v>36</v>
          </cell>
        </row>
        <row r="35">
          <cell r="C35">
            <v>4</v>
          </cell>
        </row>
        <row r="36">
          <cell r="C36">
            <v>14</v>
          </cell>
        </row>
        <row r="37">
          <cell r="C37">
            <v>0</v>
          </cell>
        </row>
        <row r="61">
          <cell r="C61">
            <v>35</v>
          </cell>
        </row>
        <row r="62">
          <cell r="C62">
            <v>3</v>
          </cell>
        </row>
        <row r="63">
          <cell r="C63">
            <v>1</v>
          </cell>
        </row>
        <row r="64">
          <cell r="C64">
            <v>0</v>
          </cell>
        </row>
      </sheetData>
      <sheetData sheetId="86">
        <row r="17">
          <cell r="C17">
            <v>41</v>
          </cell>
        </row>
        <row r="34">
          <cell r="C34">
            <v>41</v>
          </cell>
        </row>
        <row r="35">
          <cell r="C35">
            <v>11</v>
          </cell>
        </row>
        <row r="36">
          <cell r="C36">
            <v>8</v>
          </cell>
        </row>
        <row r="37">
          <cell r="C37">
            <v>1</v>
          </cell>
        </row>
        <row r="61">
          <cell r="C61">
            <v>36</v>
          </cell>
        </row>
        <row r="62">
          <cell r="C62">
            <v>0</v>
          </cell>
        </row>
        <row r="63">
          <cell r="C63">
            <v>1</v>
          </cell>
        </row>
        <row r="64">
          <cell r="C64">
            <v>1</v>
          </cell>
        </row>
      </sheetData>
      <sheetData sheetId="87"/>
      <sheetData sheetId="88">
        <row r="17">
          <cell r="C17">
            <v>533</v>
          </cell>
        </row>
        <row r="34">
          <cell r="C34">
            <v>372</v>
          </cell>
        </row>
        <row r="35">
          <cell r="C35">
            <v>100</v>
          </cell>
        </row>
        <row r="36">
          <cell r="C36">
            <v>124</v>
          </cell>
        </row>
        <row r="37">
          <cell r="C37">
            <v>23</v>
          </cell>
        </row>
        <row r="61">
          <cell r="C61">
            <v>409</v>
          </cell>
        </row>
        <row r="62">
          <cell r="C62">
            <v>23</v>
          </cell>
        </row>
        <row r="63">
          <cell r="C63">
            <v>26</v>
          </cell>
        </row>
        <row r="64">
          <cell r="C64">
            <v>14</v>
          </cell>
        </row>
      </sheetData>
      <sheetData sheetId="89">
        <row r="17">
          <cell r="C17">
            <v>31</v>
          </cell>
        </row>
        <row r="34">
          <cell r="C34">
            <v>56</v>
          </cell>
        </row>
        <row r="35">
          <cell r="C35">
            <v>15</v>
          </cell>
        </row>
        <row r="36">
          <cell r="C36">
            <v>10</v>
          </cell>
        </row>
        <row r="37">
          <cell r="C37">
            <v>5</v>
          </cell>
        </row>
        <row r="61">
          <cell r="C61">
            <v>31</v>
          </cell>
        </row>
        <row r="62">
          <cell r="C62">
            <v>0</v>
          </cell>
        </row>
        <row r="63">
          <cell r="C63">
            <v>0</v>
          </cell>
        </row>
        <row r="64">
          <cell r="C64">
            <v>1</v>
          </cell>
        </row>
      </sheetData>
      <sheetData sheetId="90">
        <row r="17">
          <cell r="C17">
            <v>49</v>
          </cell>
        </row>
        <row r="34">
          <cell r="C34">
            <v>39</v>
          </cell>
        </row>
        <row r="35">
          <cell r="C35">
            <v>4</v>
          </cell>
        </row>
        <row r="36">
          <cell r="C36">
            <v>21</v>
          </cell>
        </row>
        <row r="37">
          <cell r="C37">
            <v>0</v>
          </cell>
        </row>
        <row r="61">
          <cell r="C61">
            <v>45</v>
          </cell>
        </row>
        <row r="62">
          <cell r="C62">
            <v>7</v>
          </cell>
        </row>
        <row r="63">
          <cell r="C63">
            <v>10</v>
          </cell>
        </row>
        <row r="64">
          <cell r="C64">
            <v>1</v>
          </cell>
        </row>
      </sheetData>
      <sheetData sheetId="91">
        <row r="17">
          <cell r="C17">
            <v>68</v>
          </cell>
        </row>
        <row r="34">
          <cell r="C34">
            <v>46</v>
          </cell>
        </row>
        <row r="35">
          <cell r="C35">
            <v>13</v>
          </cell>
        </row>
        <row r="36">
          <cell r="C36">
            <v>31</v>
          </cell>
        </row>
        <row r="37">
          <cell r="C37">
            <v>12</v>
          </cell>
        </row>
        <row r="61">
          <cell r="C61">
            <v>45</v>
          </cell>
        </row>
        <row r="62">
          <cell r="C62">
            <v>8</v>
          </cell>
        </row>
        <row r="63">
          <cell r="C63">
            <v>1</v>
          </cell>
        </row>
        <row r="64">
          <cell r="C64">
            <v>1</v>
          </cell>
        </row>
      </sheetData>
      <sheetData sheetId="92"/>
      <sheetData sheetId="93"/>
      <sheetData sheetId="94"/>
      <sheetData sheetId="95">
        <row r="17">
          <cell r="C17">
            <v>1843</v>
          </cell>
        </row>
        <row r="34">
          <cell r="C34">
            <v>1538</v>
          </cell>
        </row>
        <row r="35">
          <cell r="C35">
            <v>374</v>
          </cell>
        </row>
        <row r="36">
          <cell r="C36">
            <v>651</v>
          </cell>
        </row>
        <row r="37">
          <cell r="C37">
            <v>194</v>
          </cell>
        </row>
        <row r="61">
          <cell r="C61">
            <v>1229</v>
          </cell>
        </row>
        <row r="62">
          <cell r="C62">
            <v>105</v>
          </cell>
        </row>
        <row r="63">
          <cell r="C63">
            <v>293</v>
          </cell>
        </row>
        <row r="64">
          <cell r="C64">
            <v>92</v>
          </cell>
        </row>
      </sheetData>
      <sheetData sheetId="96">
        <row r="17">
          <cell r="C17">
            <v>441</v>
          </cell>
        </row>
        <row r="34">
          <cell r="C34">
            <v>407</v>
          </cell>
        </row>
        <row r="35">
          <cell r="C35">
            <v>116</v>
          </cell>
        </row>
        <row r="36">
          <cell r="C36">
            <v>147</v>
          </cell>
        </row>
        <row r="37">
          <cell r="C37">
            <v>52</v>
          </cell>
        </row>
        <row r="61">
          <cell r="C61">
            <v>170</v>
          </cell>
        </row>
        <row r="62">
          <cell r="C62">
            <v>8</v>
          </cell>
        </row>
        <row r="63">
          <cell r="C63">
            <v>226</v>
          </cell>
        </row>
        <row r="64">
          <cell r="C64">
            <v>22</v>
          </cell>
        </row>
      </sheetData>
      <sheetData sheetId="97">
        <row r="17">
          <cell r="C17">
            <v>1469</v>
          </cell>
        </row>
        <row r="34">
          <cell r="C34">
            <v>1170</v>
          </cell>
        </row>
        <row r="35">
          <cell r="C35">
            <v>233</v>
          </cell>
        </row>
        <row r="36">
          <cell r="C36">
            <v>437</v>
          </cell>
        </row>
        <row r="37">
          <cell r="C37">
            <v>93</v>
          </cell>
        </row>
        <row r="61">
          <cell r="C61">
            <v>938</v>
          </cell>
        </row>
        <row r="62">
          <cell r="C62">
            <v>33</v>
          </cell>
        </row>
        <row r="63">
          <cell r="C63">
            <v>169</v>
          </cell>
        </row>
        <row r="64">
          <cell r="C64">
            <v>44</v>
          </cell>
        </row>
      </sheetData>
      <sheetData sheetId="98">
        <row r="17">
          <cell r="C17">
            <v>304</v>
          </cell>
        </row>
        <row r="34">
          <cell r="C34">
            <v>413</v>
          </cell>
        </row>
        <row r="35">
          <cell r="C35">
            <v>66</v>
          </cell>
        </row>
        <row r="36">
          <cell r="C36">
            <v>121</v>
          </cell>
        </row>
        <row r="37">
          <cell r="C37">
            <v>14</v>
          </cell>
        </row>
        <row r="61">
          <cell r="C61">
            <v>221</v>
          </cell>
        </row>
        <row r="62">
          <cell r="C62">
            <v>7</v>
          </cell>
        </row>
        <row r="63">
          <cell r="C63">
            <v>15</v>
          </cell>
        </row>
        <row r="64">
          <cell r="C64">
            <v>19</v>
          </cell>
        </row>
      </sheetData>
      <sheetData sheetId="99">
        <row r="17">
          <cell r="C17">
            <v>109</v>
          </cell>
        </row>
        <row r="34">
          <cell r="C34">
            <v>113</v>
          </cell>
        </row>
        <row r="35">
          <cell r="C35">
            <v>10</v>
          </cell>
        </row>
        <row r="36">
          <cell r="C36">
            <v>35</v>
          </cell>
        </row>
        <row r="37">
          <cell r="C37">
            <v>3</v>
          </cell>
        </row>
        <row r="61">
          <cell r="C61">
            <v>69</v>
          </cell>
        </row>
        <row r="62">
          <cell r="C62">
            <v>9</v>
          </cell>
        </row>
        <row r="63">
          <cell r="C63">
            <v>6</v>
          </cell>
        </row>
        <row r="64">
          <cell r="C64">
            <v>9</v>
          </cell>
        </row>
      </sheetData>
      <sheetData sheetId="100">
        <row r="17">
          <cell r="C17">
            <v>56</v>
          </cell>
        </row>
        <row r="34">
          <cell r="C34">
            <v>66</v>
          </cell>
        </row>
        <row r="35">
          <cell r="C35">
            <v>12</v>
          </cell>
        </row>
        <row r="36">
          <cell r="C36">
            <v>27</v>
          </cell>
        </row>
        <row r="37">
          <cell r="C37">
            <v>0</v>
          </cell>
        </row>
        <row r="61">
          <cell r="C61">
            <v>23</v>
          </cell>
        </row>
        <row r="62">
          <cell r="C62">
            <v>12</v>
          </cell>
        </row>
        <row r="63">
          <cell r="C63">
            <v>2</v>
          </cell>
        </row>
        <row r="64">
          <cell r="C64">
            <v>19</v>
          </cell>
        </row>
      </sheetData>
      <sheetData sheetId="101">
        <row r="17">
          <cell r="C17">
            <v>109</v>
          </cell>
        </row>
        <row r="34">
          <cell r="C34">
            <v>112</v>
          </cell>
        </row>
        <row r="35">
          <cell r="C35">
            <v>0</v>
          </cell>
        </row>
        <row r="36">
          <cell r="C36">
            <v>49</v>
          </cell>
        </row>
        <row r="37">
          <cell r="C37">
            <v>3</v>
          </cell>
        </row>
        <row r="61">
          <cell r="C61">
            <v>88</v>
          </cell>
        </row>
        <row r="62">
          <cell r="C62">
            <v>7</v>
          </cell>
        </row>
        <row r="63">
          <cell r="C63">
            <v>2</v>
          </cell>
        </row>
        <row r="64">
          <cell r="C64">
            <v>1</v>
          </cell>
        </row>
      </sheetData>
      <sheetData sheetId="102">
        <row r="17">
          <cell r="C17">
            <v>17</v>
          </cell>
        </row>
        <row r="34">
          <cell r="C34">
            <v>19</v>
          </cell>
        </row>
        <row r="35">
          <cell r="C35">
            <v>0</v>
          </cell>
        </row>
        <row r="36">
          <cell r="C36">
            <v>6</v>
          </cell>
        </row>
        <row r="37">
          <cell r="C37">
            <v>0</v>
          </cell>
        </row>
        <row r="61">
          <cell r="C61">
            <v>11</v>
          </cell>
        </row>
        <row r="62">
          <cell r="C62">
            <v>1</v>
          </cell>
        </row>
        <row r="63">
          <cell r="C63">
            <v>1</v>
          </cell>
        </row>
        <row r="64">
          <cell r="C64">
            <v>0</v>
          </cell>
        </row>
      </sheetData>
      <sheetData sheetId="103">
        <row r="17">
          <cell r="C17">
            <v>103</v>
          </cell>
        </row>
        <row r="34">
          <cell r="C34">
            <v>95</v>
          </cell>
        </row>
        <row r="35">
          <cell r="C35">
            <v>11</v>
          </cell>
        </row>
        <row r="36">
          <cell r="C36">
            <v>67</v>
          </cell>
        </row>
        <row r="37">
          <cell r="C37">
            <v>0</v>
          </cell>
        </row>
        <row r="61">
          <cell r="C61">
            <v>64</v>
          </cell>
        </row>
        <row r="62">
          <cell r="C62">
            <v>13</v>
          </cell>
        </row>
        <row r="63">
          <cell r="C63">
            <v>7</v>
          </cell>
        </row>
        <row r="64">
          <cell r="C64">
            <v>1</v>
          </cell>
        </row>
      </sheetData>
      <sheetData sheetId="104"/>
      <sheetData sheetId="105">
        <row r="17">
          <cell r="C17">
            <v>1534</v>
          </cell>
        </row>
        <row r="34">
          <cell r="C34">
            <v>1082</v>
          </cell>
        </row>
        <row r="35">
          <cell r="C35">
            <v>218</v>
          </cell>
        </row>
        <row r="36">
          <cell r="C36">
            <v>626</v>
          </cell>
        </row>
        <row r="37">
          <cell r="C37">
            <v>137</v>
          </cell>
        </row>
        <row r="61">
          <cell r="C61">
            <v>1080</v>
          </cell>
        </row>
        <row r="62">
          <cell r="C62">
            <v>58</v>
          </cell>
        </row>
        <row r="63">
          <cell r="C63">
            <v>93</v>
          </cell>
        </row>
        <row r="64">
          <cell r="C64">
            <v>36</v>
          </cell>
        </row>
      </sheetData>
      <sheetData sheetId="106">
        <row r="17">
          <cell r="C17">
            <v>222</v>
          </cell>
        </row>
        <row r="34">
          <cell r="C34">
            <v>146</v>
          </cell>
        </row>
        <row r="35">
          <cell r="C35">
            <v>24</v>
          </cell>
        </row>
        <row r="36">
          <cell r="C36">
            <v>82</v>
          </cell>
        </row>
        <row r="37">
          <cell r="C37">
            <v>9</v>
          </cell>
        </row>
        <row r="61">
          <cell r="C61">
            <v>163</v>
          </cell>
        </row>
        <row r="62">
          <cell r="C62">
            <v>12</v>
          </cell>
        </row>
        <row r="63">
          <cell r="C63">
            <v>17</v>
          </cell>
        </row>
        <row r="64">
          <cell r="C64">
            <v>2</v>
          </cell>
        </row>
      </sheetData>
      <sheetData sheetId="107">
        <row r="17">
          <cell r="C17">
            <v>177</v>
          </cell>
        </row>
        <row r="34">
          <cell r="C34">
            <v>220</v>
          </cell>
        </row>
        <row r="35">
          <cell r="C35">
            <v>26</v>
          </cell>
        </row>
        <row r="36">
          <cell r="C36">
            <v>76</v>
          </cell>
        </row>
        <row r="37">
          <cell r="C37">
            <v>19</v>
          </cell>
        </row>
        <row r="61">
          <cell r="C61">
            <v>148</v>
          </cell>
        </row>
        <row r="62">
          <cell r="C62">
            <v>5</v>
          </cell>
        </row>
        <row r="63">
          <cell r="C63">
            <v>19</v>
          </cell>
        </row>
        <row r="64">
          <cell r="C64">
            <v>2</v>
          </cell>
        </row>
      </sheetData>
      <sheetData sheetId="108">
        <row r="17">
          <cell r="C17">
            <v>96</v>
          </cell>
        </row>
        <row r="34">
          <cell r="C34">
            <v>99</v>
          </cell>
        </row>
        <row r="35">
          <cell r="C35">
            <v>22</v>
          </cell>
        </row>
        <row r="36">
          <cell r="C36">
            <v>35</v>
          </cell>
        </row>
        <row r="37">
          <cell r="C37">
            <v>9</v>
          </cell>
        </row>
        <row r="61">
          <cell r="C61">
            <v>63</v>
          </cell>
        </row>
        <row r="62">
          <cell r="C62">
            <v>7</v>
          </cell>
        </row>
        <row r="63">
          <cell r="C63">
            <v>6</v>
          </cell>
        </row>
        <row r="64">
          <cell r="C64">
            <v>0</v>
          </cell>
        </row>
      </sheetData>
      <sheetData sheetId="109">
        <row r="17">
          <cell r="C17">
            <v>132</v>
          </cell>
        </row>
        <row r="34">
          <cell r="C34">
            <v>163</v>
          </cell>
        </row>
        <row r="35">
          <cell r="C35">
            <v>2</v>
          </cell>
        </row>
        <row r="36">
          <cell r="C36">
            <v>47</v>
          </cell>
        </row>
        <row r="37">
          <cell r="C37">
            <v>3</v>
          </cell>
        </row>
        <row r="61">
          <cell r="C61">
            <v>100</v>
          </cell>
        </row>
        <row r="62">
          <cell r="C62">
            <v>14</v>
          </cell>
        </row>
        <row r="63">
          <cell r="C63">
            <v>15</v>
          </cell>
        </row>
        <row r="64">
          <cell r="C64">
            <v>0</v>
          </cell>
        </row>
      </sheetData>
      <sheetData sheetId="110">
        <row r="17">
          <cell r="C17">
            <v>353</v>
          </cell>
        </row>
        <row r="34">
          <cell r="C34">
            <v>428</v>
          </cell>
        </row>
        <row r="35">
          <cell r="C35">
            <v>73</v>
          </cell>
        </row>
        <row r="36">
          <cell r="C36">
            <v>129</v>
          </cell>
        </row>
        <row r="37">
          <cell r="C37">
            <v>32</v>
          </cell>
        </row>
        <row r="61">
          <cell r="C61">
            <v>333</v>
          </cell>
        </row>
        <row r="62">
          <cell r="C62">
            <v>7</v>
          </cell>
        </row>
        <row r="63">
          <cell r="C63">
            <v>5</v>
          </cell>
        </row>
        <row r="64">
          <cell r="C64">
            <v>5</v>
          </cell>
        </row>
      </sheetData>
      <sheetData sheetId="111"/>
      <sheetData sheetId="112">
        <row r="17">
          <cell r="C17">
            <v>928</v>
          </cell>
        </row>
        <row r="34">
          <cell r="C34">
            <v>811</v>
          </cell>
        </row>
        <row r="35">
          <cell r="C35">
            <v>174</v>
          </cell>
        </row>
        <row r="36">
          <cell r="C36">
            <v>288</v>
          </cell>
        </row>
        <row r="37">
          <cell r="C37">
            <v>28</v>
          </cell>
        </row>
        <row r="61">
          <cell r="C61">
            <v>714</v>
          </cell>
        </row>
        <row r="62">
          <cell r="C62">
            <v>33</v>
          </cell>
        </row>
        <row r="63">
          <cell r="C63">
            <v>63</v>
          </cell>
        </row>
        <row r="64">
          <cell r="C64">
            <v>4</v>
          </cell>
        </row>
      </sheetData>
      <sheetData sheetId="113">
        <row r="17">
          <cell r="C17">
            <v>260</v>
          </cell>
        </row>
        <row r="34">
          <cell r="C34">
            <v>142</v>
          </cell>
        </row>
        <row r="35">
          <cell r="C35">
            <v>12</v>
          </cell>
        </row>
        <row r="36">
          <cell r="C36">
            <v>85</v>
          </cell>
        </row>
        <row r="37">
          <cell r="C37">
            <v>21</v>
          </cell>
        </row>
        <row r="61">
          <cell r="C61">
            <v>234</v>
          </cell>
        </row>
        <row r="62">
          <cell r="C62">
            <v>2</v>
          </cell>
        </row>
        <row r="63">
          <cell r="C63">
            <v>7</v>
          </cell>
        </row>
        <row r="64">
          <cell r="C64">
            <v>6</v>
          </cell>
        </row>
      </sheetData>
      <sheetData sheetId="114">
        <row r="17">
          <cell r="C17">
            <v>75</v>
          </cell>
        </row>
        <row r="34">
          <cell r="C34">
            <v>78</v>
          </cell>
        </row>
        <row r="35">
          <cell r="C35">
            <v>14</v>
          </cell>
        </row>
        <row r="36">
          <cell r="C36">
            <v>18</v>
          </cell>
        </row>
        <row r="37">
          <cell r="C37">
            <v>8</v>
          </cell>
        </row>
        <row r="61">
          <cell r="C61">
            <v>65</v>
          </cell>
        </row>
        <row r="62">
          <cell r="C62">
            <v>4</v>
          </cell>
        </row>
        <row r="63">
          <cell r="C63">
            <v>2</v>
          </cell>
        </row>
        <row r="64">
          <cell r="C64">
            <v>0</v>
          </cell>
        </row>
      </sheetData>
      <sheetData sheetId="115">
        <row r="17">
          <cell r="C17">
            <v>87</v>
          </cell>
        </row>
        <row r="34">
          <cell r="C34">
            <v>116</v>
          </cell>
        </row>
        <row r="35">
          <cell r="C35">
            <v>16</v>
          </cell>
        </row>
        <row r="36">
          <cell r="C36">
            <v>37</v>
          </cell>
        </row>
        <row r="37">
          <cell r="C37">
            <v>5</v>
          </cell>
        </row>
        <row r="61">
          <cell r="C61">
            <v>73</v>
          </cell>
        </row>
        <row r="62">
          <cell r="C62">
            <v>8</v>
          </cell>
        </row>
        <row r="63">
          <cell r="C63">
            <v>5</v>
          </cell>
        </row>
        <row r="64">
          <cell r="C64">
            <v>0</v>
          </cell>
        </row>
      </sheetData>
      <sheetData sheetId="116">
        <row r="17">
          <cell r="C17">
            <v>137</v>
          </cell>
        </row>
        <row r="34">
          <cell r="C34">
            <v>181</v>
          </cell>
        </row>
        <row r="35">
          <cell r="C35">
            <v>20</v>
          </cell>
        </row>
        <row r="36">
          <cell r="C36">
            <v>53</v>
          </cell>
        </row>
        <row r="37">
          <cell r="C37">
            <v>7</v>
          </cell>
        </row>
        <row r="61">
          <cell r="C61">
            <v>130</v>
          </cell>
        </row>
        <row r="62">
          <cell r="C62">
            <v>6</v>
          </cell>
        </row>
        <row r="63">
          <cell r="C63">
            <v>1</v>
          </cell>
        </row>
        <row r="64">
          <cell r="C64">
            <v>0</v>
          </cell>
        </row>
      </sheetData>
      <sheetData sheetId="117">
        <row r="17">
          <cell r="C17">
            <v>31</v>
          </cell>
        </row>
        <row r="34">
          <cell r="C34">
            <v>33</v>
          </cell>
        </row>
        <row r="35">
          <cell r="C35">
            <v>3</v>
          </cell>
        </row>
        <row r="36">
          <cell r="C36">
            <v>10</v>
          </cell>
        </row>
        <row r="37">
          <cell r="C37">
            <v>2</v>
          </cell>
        </row>
        <row r="61">
          <cell r="C61">
            <v>27</v>
          </cell>
        </row>
        <row r="62">
          <cell r="C62">
            <v>2</v>
          </cell>
        </row>
        <row r="63">
          <cell r="C63">
            <v>0</v>
          </cell>
        </row>
        <row r="64">
          <cell r="C64">
            <v>0</v>
          </cell>
        </row>
      </sheetData>
      <sheetData sheetId="118"/>
      <sheetData sheetId="119">
        <row r="17">
          <cell r="C17">
            <v>432</v>
          </cell>
        </row>
        <row r="34">
          <cell r="C34">
            <v>533</v>
          </cell>
        </row>
        <row r="35">
          <cell r="C35">
            <v>140</v>
          </cell>
        </row>
        <row r="36">
          <cell r="C36">
            <v>172</v>
          </cell>
        </row>
        <row r="37">
          <cell r="C37">
            <v>35</v>
          </cell>
        </row>
        <row r="61">
          <cell r="C61">
            <v>355</v>
          </cell>
        </row>
        <row r="62">
          <cell r="C62">
            <v>26</v>
          </cell>
        </row>
        <row r="63">
          <cell r="C63">
            <v>22</v>
          </cell>
        </row>
        <row r="64">
          <cell r="C64">
            <v>11</v>
          </cell>
        </row>
      </sheetData>
      <sheetData sheetId="120">
        <row r="17">
          <cell r="C17">
            <v>26</v>
          </cell>
        </row>
        <row r="34">
          <cell r="C34">
            <v>51</v>
          </cell>
        </row>
        <row r="35">
          <cell r="C35">
            <v>5</v>
          </cell>
        </row>
        <row r="36">
          <cell r="C36">
            <v>6</v>
          </cell>
        </row>
        <row r="37">
          <cell r="C37">
            <v>2</v>
          </cell>
        </row>
        <row r="61">
          <cell r="C61">
            <v>17</v>
          </cell>
        </row>
        <row r="62">
          <cell r="C62">
            <v>1</v>
          </cell>
        </row>
        <row r="63">
          <cell r="C63">
            <v>3</v>
          </cell>
        </row>
        <row r="64">
          <cell r="C64">
            <v>0</v>
          </cell>
        </row>
      </sheetData>
      <sheetData sheetId="121">
        <row r="17">
          <cell r="C17">
            <v>37</v>
          </cell>
        </row>
        <row r="34">
          <cell r="C34">
            <v>59</v>
          </cell>
        </row>
        <row r="35">
          <cell r="C35">
            <v>10</v>
          </cell>
        </row>
        <row r="36">
          <cell r="C36">
            <v>13</v>
          </cell>
        </row>
        <row r="37">
          <cell r="C37">
            <v>3</v>
          </cell>
        </row>
        <row r="61">
          <cell r="C61">
            <v>27</v>
          </cell>
        </row>
        <row r="62">
          <cell r="C62">
            <v>2</v>
          </cell>
        </row>
        <row r="63">
          <cell r="C63">
            <v>3</v>
          </cell>
        </row>
        <row r="64">
          <cell r="C64">
            <v>0</v>
          </cell>
        </row>
      </sheetData>
      <sheetData sheetId="122"/>
      <sheetData sheetId="123">
        <row r="17">
          <cell r="C17">
            <v>1113</v>
          </cell>
        </row>
        <row r="34">
          <cell r="C34">
            <v>977</v>
          </cell>
        </row>
        <row r="35">
          <cell r="C35">
            <v>180</v>
          </cell>
        </row>
        <row r="36">
          <cell r="C36">
            <v>366</v>
          </cell>
        </row>
        <row r="37">
          <cell r="C37">
            <v>80</v>
          </cell>
        </row>
        <row r="61">
          <cell r="C61">
            <v>765</v>
          </cell>
        </row>
        <row r="62">
          <cell r="C62">
            <v>59</v>
          </cell>
        </row>
        <row r="63">
          <cell r="C63">
            <v>100</v>
          </cell>
        </row>
        <row r="64">
          <cell r="C64">
            <v>48</v>
          </cell>
        </row>
      </sheetData>
      <sheetData sheetId="124">
        <row r="17">
          <cell r="C17">
            <v>327</v>
          </cell>
        </row>
        <row r="34">
          <cell r="C34">
            <v>359</v>
          </cell>
        </row>
        <row r="35">
          <cell r="C35">
            <v>40</v>
          </cell>
        </row>
        <row r="36">
          <cell r="C36">
            <v>125</v>
          </cell>
        </row>
        <row r="37">
          <cell r="C37">
            <v>14</v>
          </cell>
        </row>
        <row r="61">
          <cell r="C61">
            <v>235</v>
          </cell>
        </row>
        <row r="62">
          <cell r="C62">
            <v>19</v>
          </cell>
        </row>
        <row r="63">
          <cell r="C63">
            <v>42</v>
          </cell>
        </row>
        <row r="64">
          <cell r="C64">
            <v>13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101"/>
      <sheetName val="117301"/>
      <sheetName val="117701"/>
      <sheetName val="117302"/>
      <sheetName val="117702"/>
      <sheetName val="117799"/>
      <sheetName val="117405"/>
      <sheetName val="117303"/>
      <sheetName val="117410"/>
      <sheetName val="117304"/>
      <sheetName val="200261"/>
      <sheetName val="117322"/>
      <sheetName val="117324"/>
      <sheetName val="117330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09"/>
      <sheetName val="11746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102"/>
      <sheetName val="117329"/>
      <sheetName val="117729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  <sheetName val=" 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9">
          <cell r="H59">
            <v>21</v>
          </cell>
          <cell r="I59">
            <v>16</v>
          </cell>
          <cell r="J59">
            <v>15</v>
          </cell>
          <cell r="K59">
            <v>10</v>
          </cell>
          <cell r="L59">
            <v>6</v>
          </cell>
          <cell r="M59">
            <v>5</v>
          </cell>
          <cell r="N59">
            <v>11</v>
          </cell>
          <cell r="O59">
            <v>9</v>
          </cell>
          <cell r="P59">
            <v>4</v>
          </cell>
          <cell r="Q59">
            <v>15</v>
          </cell>
          <cell r="R59">
            <v>3</v>
          </cell>
          <cell r="S59">
            <v>13</v>
          </cell>
          <cell r="T59">
            <v>5</v>
          </cell>
          <cell r="U59">
            <v>13</v>
          </cell>
          <cell r="V59">
            <v>3</v>
          </cell>
          <cell r="W59">
            <v>15</v>
          </cell>
          <cell r="X59">
            <v>5</v>
          </cell>
          <cell r="Y59">
            <v>28</v>
          </cell>
          <cell r="Z59">
            <v>5</v>
          </cell>
          <cell r="AA59">
            <v>27</v>
          </cell>
          <cell r="AB59">
            <v>12</v>
          </cell>
          <cell r="AC59">
            <v>35</v>
          </cell>
          <cell r="AD59">
            <v>8</v>
          </cell>
          <cell r="AE59">
            <v>49</v>
          </cell>
          <cell r="AF59">
            <v>7</v>
          </cell>
          <cell r="AG59">
            <v>58</v>
          </cell>
          <cell r="AH59">
            <v>14</v>
          </cell>
          <cell r="AI59">
            <v>43</v>
          </cell>
          <cell r="AJ59">
            <v>6</v>
          </cell>
          <cell r="AK59">
            <v>20</v>
          </cell>
          <cell r="AL59">
            <v>5</v>
          </cell>
          <cell r="AM59">
            <v>26</v>
          </cell>
        </row>
        <row r="63">
          <cell r="C63">
            <v>295</v>
          </cell>
        </row>
      </sheetData>
      <sheetData sheetId="8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9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10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11">
        <row r="59">
          <cell r="H59">
            <v>19</v>
          </cell>
          <cell r="I59">
            <v>14</v>
          </cell>
          <cell r="J59">
            <v>18</v>
          </cell>
          <cell r="K59">
            <v>13</v>
          </cell>
          <cell r="L59">
            <v>13</v>
          </cell>
          <cell r="M59">
            <v>15</v>
          </cell>
          <cell r="N59">
            <v>4</v>
          </cell>
          <cell r="O59">
            <v>5</v>
          </cell>
          <cell r="P59">
            <v>3</v>
          </cell>
          <cell r="Q59">
            <v>14</v>
          </cell>
          <cell r="R59">
            <v>3</v>
          </cell>
          <cell r="S59">
            <v>7</v>
          </cell>
          <cell r="T59">
            <v>3</v>
          </cell>
          <cell r="U59">
            <v>14</v>
          </cell>
          <cell r="V59">
            <v>2</v>
          </cell>
          <cell r="W59">
            <v>8</v>
          </cell>
          <cell r="X59">
            <v>7</v>
          </cell>
          <cell r="Y59">
            <v>11</v>
          </cell>
          <cell r="Z59">
            <v>6</v>
          </cell>
          <cell r="AA59">
            <v>16</v>
          </cell>
          <cell r="AB59">
            <v>7</v>
          </cell>
          <cell r="AC59">
            <v>21</v>
          </cell>
          <cell r="AD59">
            <v>4</v>
          </cell>
          <cell r="AE59">
            <v>25</v>
          </cell>
          <cell r="AF59">
            <v>9</v>
          </cell>
          <cell r="AG59">
            <v>17</v>
          </cell>
          <cell r="AH59">
            <v>6</v>
          </cell>
          <cell r="AI59">
            <v>19</v>
          </cell>
          <cell r="AJ59">
            <v>2</v>
          </cell>
          <cell r="AK59">
            <v>21</v>
          </cell>
          <cell r="AL59">
            <v>5</v>
          </cell>
          <cell r="AM59">
            <v>28</v>
          </cell>
        </row>
        <row r="63">
          <cell r="C63">
            <v>91</v>
          </cell>
        </row>
      </sheetData>
      <sheetData sheetId="12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13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5</v>
          </cell>
          <cell r="M59">
            <v>5</v>
          </cell>
          <cell r="N59">
            <v>4</v>
          </cell>
          <cell r="O59">
            <v>9</v>
          </cell>
          <cell r="P59">
            <v>4</v>
          </cell>
          <cell r="Q59">
            <v>12</v>
          </cell>
          <cell r="R59">
            <v>5</v>
          </cell>
          <cell r="S59">
            <v>8</v>
          </cell>
          <cell r="T59">
            <v>3</v>
          </cell>
          <cell r="U59">
            <v>10</v>
          </cell>
          <cell r="V59">
            <v>4</v>
          </cell>
          <cell r="W59">
            <v>6</v>
          </cell>
          <cell r="X59">
            <v>4</v>
          </cell>
          <cell r="Y59">
            <v>7</v>
          </cell>
          <cell r="Z59">
            <v>7</v>
          </cell>
          <cell r="AA59">
            <v>9</v>
          </cell>
          <cell r="AB59">
            <v>8</v>
          </cell>
          <cell r="AC59">
            <v>15</v>
          </cell>
          <cell r="AD59">
            <v>6</v>
          </cell>
          <cell r="AE59">
            <v>17</v>
          </cell>
          <cell r="AF59">
            <v>4</v>
          </cell>
          <cell r="AG59">
            <v>13</v>
          </cell>
          <cell r="AH59">
            <v>9</v>
          </cell>
          <cell r="AI59">
            <v>30</v>
          </cell>
          <cell r="AJ59">
            <v>6</v>
          </cell>
          <cell r="AK59">
            <v>17</v>
          </cell>
          <cell r="AL59">
            <v>24</v>
          </cell>
          <cell r="AM59">
            <v>11</v>
          </cell>
        </row>
        <row r="63">
          <cell r="C63">
            <v>68</v>
          </cell>
        </row>
      </sheetData>
      <sheetData sheetId="14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15">
        <row r="59">
          <cell r="H59">
            <v>4</v>
          </cell>
          <cell r="I59">
            <v>2</v>
          </cell>
          <cell r="J59">
            <v>8</v>
          </cell>
          <cell r="K59">
            <v>3</v>
          </cell>
          <cell r="L59">
            <v>2</v>
          </cell>
          <cell r="M59">
            <v>1</v>
          </cell>
          <cell r="N59">
            <v>0</v>
          </cell>
          <cell r="O59">
            <v>1</v>
          </cell>
          <cell r="P59">
            <v>0</v>
          </cell>
          <cell r="Q59">
            <v>1</v>
          </cell>
          <cell r="R59">
            <v>0</v>
          </cell>
          <cell r="S59">
            <v>1</v>
          </cell>
          <cell r="T59">
            <v>1</v>
          </cell>
          <cell r="U59">
            <v>1</v>
          </cell>
          <cell r="V59">
            <v>0</v>
          </cell>
          <cell r="W59">
            <v>1</v>
          </cell>
          <cell r="X59">
            <v>1</v>
          </cell>
          <cell r="Y59">
            <v>0</v>
          </cell>
          <cell r="Z59">
            <v>0</v>
          </cell>
          <cell r="AA59">
            <v>1</v>
          </cell>
          <cell r="AB59">
            <v>2</v>
          </cell>
          <cell r="AC59">
            <v>5</v>
          </cell>
          <cell r="AD59">
            <v>1</v>
          </cell>
          <cell r="AE59">
            <v>2</v>
          </cell>
          <cell r="AF59">
            <v>1</v>
          </cell>
          <cell r="AG59">
            <v>6</v>
          </cell>
          <cell r="AH59">
            <v>3</v>
          </cell>
          <cell r="AI59">
            <v>6</v>
          </cell>
          <cell r="AJ59">
            <v>1</v>
          </cell>
          <cell r="AK59">
            <v>3</v>
          </cell>
          <cell r="AL59">
            <v>1</v>
          </cell>
          <cell r="AM59">
            <v>3</v>
          </cell>
        </row>
        <row r="63">
          <cell r="C63">
            <v>15</v>
          </cell>
        </row>
      </sheetData>
      <sheetData sheetId="16">
        <row r="59">
          <cell r="H59">
            <v>40</v>
          </cell>
          <cell r="I59">
            <v>30</v>
          </cell>
          <cell r="J59">
            <v>27</v>
          </cell>
          <cell r="K59">
            <v>29</v>
          </cell>
          <cell r="L59">
            <v>9</v>
          </cell>
          <cell r="M59">
            <v>9</v>
          </cell>
          <cell r="N59">
            <v>3</v>
          </cell>
          <cell r="O59">
            <v>2</v>
          </cell>
          <cell r="P59">
            <v>6</v>
          </cell>
          <cell r="Q59">
            <v>5</v>
          </cell>
          <cell r="R59">
            <v>3</v>
          </cell>
          <cell r="S59">
            <v>3</v>
          </cell>
          <cell r="T59">
            <v>2</v>
          </cell>
          <cell r="U59">
            <v>4</v>
          </cell>
          <cell r="V59">
            <v>3</v>
          </cell>
          <cell r="W59">
            <v>2</v>
          </cell>
          <cell r="X59">
            <v>0</v>
          </cell>
          <cell r="Y59">
            <v>11</v>
          </cell>
          <cell r="Z59">
            <v>3</v>
          </cell>
          <cell r="AA59">
            <v>9</v>
          </cell>
          <cell r="AB59">
            <v>6</v>
          </cell>
          <cell r="AC59">
            <v>12</v>
          </cell>
          <cell r="AD59">
            <v>5</v>
          </cell>
          <cell r="AE59">
            <v>16</v>
          </cell>
          <cell r="AF59">
            <v>8</v>
          </cell>
          <cell r="AG59">
            <v>11</v>
          </cell>
          <cell r="AH59">
            <v>7</v>
          </cell>
          <cell r="AI59">
            <v>10</v>
          </cell>
          <cell r="AJ59">
            <v>2</v>
          </cell>
          <cell r="AK59">
            <v>4</v>
          </cell>
          <cell r="AL59">
            <v>2</v>
          </cell>
          <cell r="AM59">
            <v>8</v>
          </cell>
        </row>
        <row r="63">
          <cell r="C63">
            <v>79</v>
          </cell>
        </row>
      </sheetData>
      <sheetData sheetId="17">
        <row r="59">
          <cell r="H59">
            <v>40</v>
          </cell>
          <cell r="I59">
            <v>32</v>
          </cell>
          <cell r="J59">
            <v>27</v>
          </cell>
          <cell r="K59">
            <v>20</v>
          </cell>
          <cell r="L59">
            <v>13</v>
          </cell>
          <cell r="M59">
            <v>17</v>
          </cell>
          <cell r="N59">
            <v>2</v>
          </cell>
          <cell r="O59">
            <v>5</v>
          </cell>
          <cell r="P59">
            <v>2</v>
          </cell>
          <cell r="Q59">
            <v>12</v>
          </cell>
          <cell r="R59">
            <v>1</v>
          </cell>
          <cell r="S59">
            <v>4</v>
          </cell>
          <cell r="T59">
            <v>1</v>
          </cell>
          <cell r="U59">
            <v>12</v>
          </cell>
          <cell r="V59">
            <v>0</v>
          </cell>
          <cell r="W59">
            <v>11</v>
          </cell>
          <cell r="X59">
            <v>3</v>
          </cell>
          <cell r="Y59">
            <v>9</v>
          </cell>
          <cell r="Z59">
            <v>3</v>
          </cell>
          <cell r="AA59">
            <v>14</v>
          </cell>
          <cell r="AB59">
            <v>4</v>
          </cell>
          <cell r="AC59">
            <v>18</v>
          </cell>
          <cell r="AD59">
            <v>2</v>
          </cell>
          <cell r="AE59">
            <v>16</v>
          </cell>
          <cell r="AF59">
            <v>3</v>
          </cell>
          <cell r="AG59">
            <v>11</v>
          </cell>
          <cell r="AH59">
            <v>0</v>
          </cell>
          <cell r="AI59">
            <v>4</v>
          </cell>
          <cell r="AJ59">
            <v>1</v>
          </cell>
          <cell r="AK59">
            <v>5</v>
          </cell>
          <cell r="AL59">
            <v>2</v>
          </cell>
          <cell r="AM59">
            <v>4</v>
          </cell>
        </row>
        <row r="63">
          <cell r="C63">
            <v>35</v>
          </cell>
        </row>
      </sheetData>
      <sheetData sheetId="18"/>
      <sheetData sheetId="19"/>
      <sheetData sheetId="20">
        <row r="59">
          <cell r="H59">
            <v>12</v>
          </cell>
          <cell r="I59">
            <v>14</v>
          </cell>
          <cell r="J59">
            <v>25</v>
          </cell>
          <cell r="K59">
            <v>8</v>
          </cell>
          <cell r="L59">
            <v>14</v>
          </cell>
          <cell r="M59">
            <v>8</v>
          </cell>
          <cell r="N59">
            <v>3</v>
          </cell>
          <cell r="O59">
            <v>4</v>
          </cell>
          <cell r="P59">
            <v>3</v>
          </cell>
          <cell r="Q59">
            <v>8</v>
          </cell>
          <cell r="R59">
            <v>1</v>
          </cell>
          <cell r="S59">
            <v>3</v>
          </cell>
          <cell r="T59">
            <v>0</v>
          </cell>
          <cell r="U59">
            <v>1</v>
          </cell>
          <cell r="V59">
            <v>0</v>
          </cell>
          <cell r="W59">
            <v>3</v>
          </cell>
          <cell r="X59">
            <v>2</v>
          </cell>
          <cell r="Y59">
            <v>4</v>
          </cell>
          <cell r="Z59">
            <v>2</v>
          </cell>
          <cell r="AA59">
            <v>9</v>
          </cell>
          <cell r="AB59">
            <v>4</v>
          </cell>
          <cell r="AC59">
            <v>10</v>
          </cell>
          <cell r="AD59">
            <v>2</v>
          </cell>
          <cell r="AE59">
            <v>5</v>
          </cell>
          <cell r="AF59">
            <v>2</v>
          </cell>
          <cell r="AG59">
            <v>5</v>
          </cell>
          <cell r="AH59">
            <v>4</v>
          </cell>
          <cell r="AI59">
            <v>4</v>
          </cell>
          <cell r="AJ59">
            <v>2</v>
          </cell>
          <cell r="AK59">
            <v>1</v>
          </cell>
          <cell r="AL59">
            <v>1</v>
          </cell>
          <cell r="AM59">
            <v>4</v>
          </cell>
        </row>
        <row r="63">
          <cell r="C63">
            <v>72</v>
          </cell>
        </row>
      </sheetData>
      <sheetData sheetId="21">
        <row r="59">
          <cell r="H59">
            <v>5</v>
          </cell>
          <cell r="I59">
            <v>3</v>
          </cell>
          <cell r="J59">
            <v>3</v>
          </cell>
          <cell r="K59">
            <v>3</v>
          </cell>
          <cell r="L59">
            <v>3</v>
          </cell>
          <cell r="M59">
            <v>2</v>
          </cell>
          <cell r="N59">
            <v>2</v>
          </cell>
          <cell r="O59">
            <v>3</v>
          </cell>
          <cell r="P59">
            <v>0</v>
          </cell>
          <cell r="Q59">
            <v>0</v>
          </cell>
          <cell r="R59">
            <v>1</v>
          </cell>
          <cell r="S59">
            <v>3</v>
          </cell>
          <cell r="T59">
            <v>0</v>
          </cell>
          <cell r="U59">
            <v>1</v>
          </cell>
          <cell r="V59">
            <v>1</v>
          </cell>
          <cell r="W59">
            <v>2</v>
          </cell>
          <cell r="X59">
            <v>0</v>
          </cell>
          <cell r="Y59">
            <v>3</v>
          </cell>
          <cell r="Z59">
            <v>1</v>
          </cell>
          <cell r="AA59">
            <v>3</v>
          </cell>
          <cell r="AB59">
            <v>2</v>
          </cell>
          <cell r="AC59">
            <v>4</v>
          </cell>
          <cell r="AD59">
            <v>1</v>
          </cell>
          <cell r="AE59">
            <v>7</v>
          </cell>
          <cell r="AF59">
            <v>0</v>
          </cell>
          <cell r="AG59">
            <v>7</v>
          </cell>
          <cell r="AH59">
            <v>3</v>
          </cell>
          <cell r="AI59">
            <v>0</v>
          </cell>
          <cell r="AJ59">
            <v>1</v>
          </cell>
          <cell r="AK59">
            <v>0</v>
          </cell>
          <cell r="AL59">
            <v>2</v>
          </cell>
          <cell r="AM59">
            <v>3</v>
          </cell>
        </row>
        <row r="63">
          <cell r="C63">
            <v>25</v>
          </cell>
        </row>
      </sheetData>
      <sheetData sheetId="22"/>
      <sheetData sheetId="23">
        <row r="59">
          <cell r="H59">
            <v>69</v>
          </cell>
          <cell r="I59">
            <v>33</v>
          </cell>
          <cell r="J59">
            <v>42</v>
          </cell>
          <cell r="K59">
            <v>23</v>
          </cell>
          <cell r="L59">
            <v>25</v>
          </cell>
          <cell r="M59">
            <v>20</v>
          </cell>
          <cell r="N59">
            <v>8</v>
          </cell>
          <cell r="O59">
            <v>12</v>
          </cell>
          <cell r="P59">
            <v>3</v>
          </cell>
          <cell r="Q59">
            <v>19</v>
          </cell>
          <cell r="R59">
            <v>4</v>
          </cell>
          <cell r="S59">
            <v>9</v>
          </cell>
          <cell r="T59">
            <v>7</v>
          </cell>
          <cell r="U59">
            <v>23</v>
          </cell>
          <cell r="V59">
            <v>10</v>
          </cell>
          <cell r="W59">
            <v>14</v>
          </cell>
          <cell r="X59">
            <v>3</v>
          </cell>
          <cell r="Y59">
            <v>13</v>
          </cell>
          <cell r="Z59">
            <v>6</v>
          </cell>
          <cell r="AA59">
            <v>15</v>
          </cell>
          <cell r="AB59">
            <v>4</v>
          </cell>
          <cell r="AC59">
            <v>25</v>
          </cell>
          <cell r="AD59">
            <v>7</v>
          </cell>
          <cell r="AE59">
            <v>28</v>
          </cell>
          <cell r="AF59">
            <v>5</v>
          </cell>
          <cell r="AG59">
            <v>23</v>
          </cell>
          <cell r="AH59">
            <v>5</v>
          </cell>
          <cell r="AI59">
            <v>18</v>
          </cell>
          <cell r="AJ59">
            <v>8</v>
          </cell>
          <cell r="AK59">
            <v>11</v>
          </cell>
          <cell r="AL59">
            <v>3</v>
          </cell>
          <cell r="AM59">
            <v>14</v>
          </cell>
        </row>
        <row r="63">
          <cell r="C63">
            <v>178</v>
          </cell>
        </row>
      </sheetData>
      <sheetData sheetId="24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25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26">
        <row r="59">
          <cell r="H59">
            <v>29</v>
          </cell>
          <cell r="I59">
            <v>32</v>
          </cell>
          <cell r="J59">
            <v>23</v>
          </cell>
          <cell r="K59">
            <v>23</v>
          </cell>
          <cell r="L59">
            <v>7</v>
          </cell>
          <cell r="M59">
            <v>6</v>
          </cell>
          <cell r="N59">
            <v>5</v>
          </cell>
          <cell r="O59">
            <v>7</v>
          </cell>
          <cell r="P59">
            <v>4</v>
          </cell>
          <cell r="Q59">
            <v>8</v>
          </cell>
          <cell r="R59">
            <v>4</v>
          </cell>
          <cell r="S59">
            <v>5</v>
          </cell>
          <cell r="T59">
            <v>3</v>
          </cell>
          <cell r="U59">
            <v>5</v>
          </cell>
          <cell r="V59">
            <v>2</v>
          </cell>
          <cell r="W59">
            <v>10</v>
          </cell>
          <cell r="X59">
            <v>2</v>
          </cell>
          <cell r="Y59">
            <v>3</v>
          </cell>
          <cell r="Z59">
            <v>3</v>
          </cell>
          <cell r="AA59">
            <v>14</v>
          </cell>
          <cell r="AB59">
            <v>4</v>
          </cell>
          <cell r="AC59">
            <v>19</v>
          </cell>
          <cell r="AD59">
            <v>6</v>
          </cell>
          <cell r="AE59">
            <v>10</v>
          </cell>
          <cell r="AF59">
            <v>4</v>
          </cell>
          <cell r="AG59">
            <v>14</v>
          </cell>
          <cell r="AH59">
            <v>5</v>
          </cell>
          <cell r="AI59">
            <v>2</v>
          </cell>
          <cell r="AJ59">
            <v>2</v>
          </cell>
          <cell r="AK59">
            <v>7</v>
          </cell>
          <cell r="AL59">
            <v>5</v>
          </cell>
          <cell r="AM59">
            <v>5</v>
          </cell>
        </row>
        <row r="63">
          <cell r="C63">
            <v>91</v>
          </cell>
        </row>
      </sheetData>
      <sheetData sheetId="27"/>
      <sheetData sheetId="28"/>
      <sheetData sheetId="29">
        <row r="59">
          <cell r="H59">
            <v>0</v>
          </cell>
          <cell r="I59">
            <v>0</v>
          </cell>
          <cell r="J59">
            <v>2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1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4</v>
          </cell>
        </row>
      </sheetData>
      <sheetData sheetId="30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1</v>
          </cell>
          <cell r="AE59">
            <v>0</v>
          </cell>
          <cell r="AF59">
            <v>0</v>
          </cell>
          <cell r="AG59">
            <v>1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1</v>
          </cell>
        </row>
      </sheetData>
      <sheetData sheetId="31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1</v>
          </cell>
          <cell r="Y59">
            <v>0</v>
          </cell>
          <cell r="Z59">
            <v>0</v>
          </cell>
          <cell r="AA59">
            <v>1</v>
          </cell>
          <cell r="AB59">
            <v>0</v>
          </cell>
          <cell r="AC59">
            <v>1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1</v>
          </cell>
        </row>
        <row r="63">
          <cell r="C63">
            <v>10</v>
          </cell>
        </row>
      </sheetData>
      <sheetData sheetId="32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2</v>
          </cell>
          <cell r="M59">
            <v>0</v>
          </cell>
          <cell r="N59">
            <v>0</v>
          </cell>
          <cell r="O59">
            <v>2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1</v>
          </cell>
          <cell r="Z59">
            <v>0</v>
          </cell>
          <cell r="AA59">
            <v>1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1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3</v>
          </cell>
        </row>
      </sheetData>
      <sheetData sheetId="33">
        <row r="59">
          <cell r="H59">
            <v>0</v>
          </cell>
          <cell r="I59">
            <v>0</v>
          </cell>
          <cell r="J59">
            <v>1</v>
          </cell>
          <cell r="K59">
            <v>0</v>
          </cell>
          <cell r="L59">
            <v>1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1</v>
          </cell>
          <cell r="AF59">
            <v>0</v>
          </cell>
          <cell r="AG59">
            <v>1</v>
          </cell>
          <cell r="AH59">
            <v>0</v>
          </cell>
          <cell r="AI59">
            <v>0</v>
          </cell>
          <cell r="AJ59">
            <v>1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5</v>
          </cell>
        </row>
      </sheetData>
      <sheetData sheetId="34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1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1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1</v>
          </cell>
          <cell r="AD59">
            <v>0</v>
          </cell>
          <cell r="AE59">
            <v>1</v>
          </cell>
          <cell r="AF59">
            <v>0</v>
          </cell>
          <cell r="AG59">
            <v>1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35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1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1</v>
          </cell>
          <cell r="AD59">
            <v>1</v>
          </cell>
          <cell r="AE59">
            <v>0</v>
          </cell>
          <cell r="AF59">
            <v>0</v>
          </cell>
          <cell r="AG59">
            <v>1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1</v>
          </cell>
        </row>
        <row r="63">
          <cell r="C63">
            <v>0</v>
          </cell>
        </row>
      </sheetData>
      <sheetData sheetId="36">
        <row r="59">
          <cell r="H59">
            <v>1</v>
          </cell>
          <cell r="I59">
            <v>0</v>
          </cell>
          <cell r="J59">
            <v>0</v>
          </cell>
          <cell r="K59">
            <v>1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2</v>
          </cell>
          <cell r="AI59">
            <v>0</v>
          </cell>
          <cell r="AJ59">
            <v>0</v>
          </cell>
          <cell r="AK59">
            <v>1</v>
          </cell>
          <cell r="AL59">
            <v>0</v>
          </cell>
          <cell r="AM59">
            <v>0</v>
          </cell>
        </row>
        <row r="63">
          <cell r="C63">
            <v>2</v>
          </cell>
        </row>
      </sheetData>
      <sheetData sheetId="37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1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1</v>
          </cell>
          <cell r="AG59">
            <v>1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2</v>
          </cell>
        </row>
      </sheetData>
      <sheetData sheetId="38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1</v>
          </cell>
          <cell r="S59">
            <v>1</v>
          </cell>
          <cell r="T59">
            <v>0</v>
          </cell>
          <cell r="U59">
            <v>0</v>
          </cell>
          <cell r="V59">
            <v>0</v>
          </cell>
          <cell r="W59">
            <v>2</v>
          </cell>
          <cell r="X59">
            <v>0</v>
          </cell>
          <cell r="Y59">
            <v>1</v>
          </cell>
          <cell r="Z59">
            <v>2</v>
          </cell>
          <cell r="AA59">
            <v>2</v>
          </cell>
          <cell r="AB59">
            <v>0</v>
          </cell>
          <cell r="AC59">
            <v>1</v>
          </cell>
          <cell r="AD59">
            <v>0</v>
          </cell>
          <cell r="AE59">
            <v>1</v>
          </cell>
          <cell r="AF59">
            <v>0</v>
          </cell>
          <cell r="AG59">
            <v>1</v>
          </cell>
          <cell r="AH59">
            <v>0</v>
          </cell>
          <cell r="AI59">
            <v>0</v>
          </cell>
          <cell r="AJ59">
            <v>1</v>
          </cell>
          <cell r="AK59">
            <v>2</v>
          </cell>
          <cell r="AL59">
            <v>0</v>
          </cell>
          <cell r="AM59">
            <v>1</v>
          </cell>
        </row>
        <row r="63">
          <cell r="C63">
            <v>5</v>
          </cell>
        </row>
      </sheetData>
      <sheetData sheetId="39"/>
      <sheetData sheetId="40">
        <row r="59">
          <cell r="H59">
            <v>9</v>
          </cell>
          <cell r="I59">
            <v>8</v>
          </cell>
          <cell r="J59">
            <v>3</v>
          </cell>
          <cell r="K59">
            <v>6</v>
          </cell>
          <cell r="L59">
            <v>4</v>
          </cell>
          <cell r="M59">
            <v>6</v>
          </cell>
          <cell r="N59">
            <v>6</v>
          </cell>
          <cell r="O59">
            <v>7</v>
          </cell>
          <cell r="P59">
            <v>6</v>
          </cell>
          <cell r="Q59">
            <v>8</v>
          </cell>
          <cell r="R59">
            <v>1</v>
          </cell>
          <cell r="S59">
            <v>8</v>
          </cell>
          <cell r="T59">
            <v>1</v>
          </cell>
          <cell r="U59">
            <v>6</v>
          </cell>
          <cell r="V59">
            <v>2</v>
          </cell>
          <cell r="W59">
            <v>2</v>
          </cell>
          <cell r="X59">
            <v>5</v>
          </cell>
          <cell r="Y59">
            <v>11</v>
          </cell>
          <cell r="Z59">
            <v>3</v>
          </cell>
          <cell r="AA59">
            <v>21</v>
          </cell>
          <cell r="AB59">
            <v>5</v>
          </cell>
          <cell r="AC59">
            <v>15</v>
          </cell>
          <cell r="AD59">
            <v>4</v>
          </cell>
          <cell r="AE59">
            <v>12</v>
          </cell>
          <cell r="AF59">
            <v>1</v>
          </cell>
          <cell r="AG59">
            <v>12</v>
          </cell>
          <cell r="AH59">
            <v>4</v>
          </cell>
          <cell r="AI59">
            <v>12</v>
          </cell>
          <cell r="AJ59">
            <v>3</v>
          </cell>
          <cell r="AK59">
            <v>15</v>
          </cell>
          <cell r="AL59">
            <v>3</v>
          </cell>
          <cell r="AM59">
            <v>5</v>
          </cell>
        </row>
        <row r="63">
          <cell r="C63">
            <v>184</v>
          </cell>
        </row>
      </sheetData>
      <sheetData sheetId="41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42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43"/>
      <sheetData sheetId="44">
        <row r="59">
          <cell r="H59">
            <v>21</v>
          </cell>
          <cell r="I59">
            <v>23</v>
          </cell>
          <cell r="J59">
            <v>18</v>
          </cell>
          <cell r="K59">
            <v>15</v>
          </cell>
          <cell r="L59">
            <v>17</v>
          </cell>
          <cell r="M59">
            <v>7</v>
          </cell>
          <cell r="N59">
            <v>8</v>
          </cell>
          <cell r="O59">
            <v>14</v>
          </cell>
          <cell r="P59">
            <v>4</v>
          </cell>
          <cell r="Q59">
            <v>4</v>
          </cell>
          <cell r="R59">
            <v>4</v>
          </cell>
          <cell r="S59">
            <v>4</v>
          </cell>
          <cell r="T59">
            <v>1</v>
          </cell>
          <cell r="U59">
            <v>6</v>
          </cell>
          <cell r="V59">
            <v>1</v>
          </cell>
          <cell r="W59">
            <v>1</v>
          </cell>
          <cell r="X59">
            <v>2</v>
          </cell>
          <cell r="Y59">
            <v>3</v>
          </cell>
          <cell r="Z59">
            <v>3</v>
          </cell>
          <cell r="AA59">
            <v>10</v>
          </cell>
          <cell r="AB59">
            <v>3</v>
          </cell>
          <cell r="AC59">
            <v>13</v>
          </cell>
          <cell r="AD59">
            <v>4</v>
          </cell>
          <cell r="AE59">
            <v>16</v>
          </cell>
          <cell r="AF59">
            <v>7</v>
          </cell>
          <cell r="AG59">
            <v>12</v>
          </cell>
          <cell r="AH59">
            <v>8</v>
          </cell>
          <cell r="AI59">
            <v>17</v>
          </cell>
          <cell r="AJ59">
            <v>3</v>
          </cell>
          <cell r="AK59">
            <v>8</v>
          </cell>
          <cell r="AL59">
            <v>6</v>
          </cell>
          <cell r="AM59">
            <v>7</v>
          </cell>
        </row>
        <row r="63">
          <cell r="C63">
            <v>73</v>
          </cell>
        </row>
      </sheetData>
      <sheetData sheetId="45">
        <row r="59">
          <cell r="H59">
            <v>7</v>
          </cell>
          <cell r="I59">
            <v>7</v>
          </cell>
          <cell r="J59">
            <v>4</v>
          </cell>
          <cell r="K59">
            <v>2</v>
          </cell>
          <cell r="L59">
            <v>1</v>
          </cell>
          <cell r="M59">
            <v>1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4</v>
          </cell>
          <cell r="T59">
            <v>0</v>
          </cell>
          <cell r="U59">
            <v>1</v>
          </cell>
          <cell r="V59">
            <v>1</v>
          </cell>
          <cell r="W59">
            <v>0</v>
          </cell>
          <cell r="X59">
            <v>0</v>
          </cell>
          <cell r="Y59">
            <v>1</v>
          </cell>
          <cell r="Z59">
            <v>3</v>
          </cell>
          <cell r="AA59">
            <v>2</v>
          </cell>
          <cell r="AB59">
            <v>5</v>
          </cell>
          <cell r="AC59">
            <v>1</v>
          </cell>
          <cell r="AD59">
            <v>1</v>
          </cell>
          <cell r="AE59">
            <v>6</v>
          </cell>
          <cell r="AF59">
            <v>0</v>
          </cell>
          <cell r="AG59">
            <v>2</v>
          </cell>
          <cell r="AH59">
            <v>2</v>
          </cell>
          <cell r="AI59">
            <v>2</v>
          </cell>
          <cell r="AJ59">
            <v>3</v>
          </cell>
          <cell r="AK59">
            <v>5</v>
          </cell>
          <cell r="AL59">
            <v>2</v>
          </cell>
          <cell r="AM59">
            <v>8</v>
          </cell>
        </row>
        <row r="63">
          <cell r="C63">
            <v>24</v>
          </cell>
        </row>
      </sheetData>
      <sheetData sheetId="46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47"/>
      <sheetData sheetId="48">
        <row r="59">
          <cell r="H59">
            <v>34</v>
          </cell>
          <cell r="I59">
            <v>22</v>
          </cell>
          <cell r="J59">
            <v>38</v>
          </cell>
          <cell r="K59">
            <v>34</v>
          </cell>
          <cell r="L59">
            <v>19</v>
          </cell>
          <cell r="M59">
            <v>26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148</v>
          </cell>
        </row>
      </sheetData>
      <sheetData sheetId="49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50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51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52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1</v>
          </cell>
          <cell r="AF59">
            <v>0</v>
          </cell>
          <cell r="AG59">
            <v>0</v>
          </cell>
          <cell r="AH59">
            <v>1</v>
          </cell>
          <cell r="AI59">
            <v>0</v>
          </cell>
          <cell r="AJ59">
            <v>1</v>
          </cell>
          <cell r="AK59">
            <v>0</v>
          </cell>
          <cell r="AL59">
            <v>0</v>
          </cell>
          <cell r="AM59">
            <v>1</v>
          </cell>
        </row>
        <row r="63">
          <cell r="C63">
            <v>4</v>
          </cell>
        </row>
      </sheetData>
      <sheetData sheetId="53"/>
      <sheetData sheetId="54">
        <row r="59">
          <cell r="H59">
            <v>9</v>
          </cell>
          <cell r="I59">
            <v>8</v>
          </cell>
          <cell r="J59">
            <v>14</v>
          </cell>
          <cell r="K59">
            <v>8</v>
          </cell>
          <cell r="L59">
            <v>9</v>
          </cell>
          <cell r="M59">
            <v>7</v>
          </cell>
          <cell r="N59">
            <v>3</v>
          </cell>
          <cell r="O59">
            <v>3</v>
          </cell>
          <cell r="P59">
            <v>0</v>
          </cell>
          <cell r="Q59">
            <v>3</v>
          </cell>
          <cell r="R59">
            <v>1</v>
          </cell>
          <cell r="S59">
            <v>4</v>
          </cell>
          <cell r="T59">
            <v>1</v>
          </cell>
          <cell r="U59">
            <v>3</v>
          </cell>
          <cell r="V59">
            <v>0</v>
          </cell>
          <cell r="W59">
            <v>5</v>
          </cell>
          <cell r="X59">
            <v>1</v>
          </cell>
          <cell r="Y59">
            <v>6</v>
          </cell>
          <cell r="Z59">
            <v>0</v>
          </cell>
          <cell r="AA59">
            <v>11</v>
          </cell>
          <cell r="AB59">
            <v>6</v>
          </cell>
          <cell r="AC59">
            <v>6</v>
          </cell>
          <cell r="AD59">
            <v>6</v>
          </cell>
          <cell r="AE59">
            <v>13</v>
          </cell>
          <cell r="AF59">
            <v>5</v>
          </cell>
          <cell r="AG59">
            <v>11</v>
          </cell>
          <cell r="AH59">
            <v>3</v>
          </cell>
          <cell r="AI59">
            <v>12</v>
          </cell>
          <cell r="AJ59">
            <v>2</v>
          </cell>
          <cell r="AK59">
            <v>9</v>
          </cell>
          <cell r="AL59">
            <v>0</v>
          </cell>
          <cell r="AM59">
            <v>7</v>
          </cell>
        </row>
        <row r="63">
          <cell r="C63">
            <v>91</v>
          </cell>
        </row>
      </sheetData>
      <sheetData sheetId="55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56">
        <row r="59">
          <cell r="H59">
            <v>12</v>
          </cell>
          <cell r="I59">
            <v>3</v>
          </cell>
          <cell r="J59">
            <v>10</v>
          </cell>
          <cell r="K59">
            <v>7</v>
          </cell>
          <cell r="L59">
            <v>6</v>
          </cell>
          <cell r="M59">
            <v>10</v>
          </cell>
          <cell r="N59">
            <v>2</v>
          </cell>
          <cell r="O59">
            <v>6</v>
          </cell>
          <cell r="P59">
            <v>0</v>
          </cell>
          <cell r="Q59">
            <v>3</v>
          </cell>
          <cell r="R59">
            <v>1</v>
          </cell>
          <cell r="S59">
            <v>4</v>
          </cell>
          <cell r="T59">
            <v>0</v>
          </cell>
          <cell r="U59">
            <v>5</v>
          </cell>
          <cell r="V59">
            <v>0</v>
          </cell>
          <cell r="W59">
            <v>2</v>
          </cell>
          <cell r="X59">
            <v>3</v>
          </cell>
          <cell r="Y59">
            <v>7</v>
          </cell>
          <cell r="Z59">
            <v>3</v>
          </cell>
          <cell r="AA59">
            <v>4</v>
          </cell>
          <cell r="AB59">
            <v>2</v>
          </cell>
          <cell r="AC59">
            <v>7</v>
          </cell>
          <cell r="AD59">
            <v>9</v>
          </cell>
          <cell r="AE59">
            <v>9</v>
          </cell>
          <cell r="AF59">
            <v>2</v>
          </cell>
          <cell r="AG59">
            <v>12</v>
          </cell>
          <cell r="AH59">
            <v>6</v>
          </cell>
          <cell r="AI59">
            <v>5</v>
          </cell>
          <cell r="AJ59">
            <v>0</v>
          </cell>
          <cell r="AK59">
            <v>4</v>
          </cell>
          <cell r="AL59">
            <v>3</v>
          </cell>
          <cell r="AM59">
            <v>4</v>
          </cell>
        </row>
        <row r="63">
          <cell r="C63">
            <v>72</v>
          </cell>
        </row>
      </sheetData>
      <sheetData sheetId="57">
        <row r="59">
          <cell r="H59">
            <v>8</v>
          </cell>
          <cell r="I59">
            <v>7</v>
          </cell>
          <cell r="J59">
            <v>9</v>
          </cell>
          <cell r="K59">
            <v>5</v>
          </cell>
          <cell r="L59">
            <v>4</v>
          </cell>
          <cell r="M59">
            <v>3</v>
          </cell>
          <cell r="N59">
            <v>2</v>
          </cell>
          <cell r="O59">
            <v>2</v>
          </cell>
          <cell r="P59">
            <v>2</v>
          </cell>
          <cell r="Q59">
            <v>2</v>
          </cell>
          <cell r="R59">
            <v>1</v>
          </cell>
          <cell r="S59">
            <v>1</v>
          </cell>
          <cell r="T59">
            <v>0</v>
          </cell>
          <cell r="U59">
            <v>4</v>
          </cell>
          <cell r="V59">
            <v>0</v>
          </cell>
          <cell r="W59">
            <v>1</v>
          </cell>
          <cell r="X59">
            <v>1</v>
          </cell>
          <cell r="Y59">
            <v>4</v>
          </cell>
          <cell r="Z59">
            <v>0</v>
          </cell>
          <cell r="AA59">
            <v>2</v>
          </cell>
          <cell r="AB59">
            <v>1</v>
          </cell>
          <cell r="AC59">
            <v>1</v>
          </cell>
          <cell r="AD59">
            <v>0</v>
          </cell>
          <cell r="AE59">
            <v>3</v>
          </cell>
          <cell r="AF59">
            <v>1</v>
          </cell>
          <cell r="AG59">
            <v>5</v>
          </cell>
          <cell r="AH59">
            <v>0</v>
          </cell>
          <cell r="AI59">
            <v>1</v>
          </cell>
          <cell r="AJ59">
            <v>1</v>
          </cell>
          <cell r="AK59">
            <v>2</v>
          </cell>
          <cell r="AL59">
            <v>0</v>
          </cell>
          <cell r="AM59">
            <v>0</v>
          </cell>
        </row>
        <row r="63">
          <cell r="C63">
            <v>30</v>
          </cell>
        </row>
      </sheetData>
      <sheetData sheetId="58"/>
      <sheetData sheetId="59"/>
      <sheetData sheetId="60">
        <row r="59">
          <cell r="H59">
            <v>9</v>
          </cell>
          <cell r="I59">
            <v>10</v>
          </cell>
          <cell r="J59">
            <v>10</v>
          </cell>
          <cell r="K59">
            <v>12</v>
          </cell>
          <cell r="L59">
            <v>21</v>
          </cell>
          <cell r="M59">
            <v>14</v>
          </cell>
          <cell r="N59">
            <v>14</v>
          </cell>
          <cell r="O59">
            <v>7</v>
          </cell>
          <cell r="P59">
            <v>3</v>
          </cell>
          <cell r="Q59">
            <v>5</v>
          </cell>
          <cell r="R59">
            <v>2</v>
          </cell>
          <cell r="S59">
            <v>3</v>
          </cell>
          <cell r="T59">
            <v>2</v>
          </cell>
          <cell r="U59">
            <v>3</v>
          </cell>
          <cell r="V59">
            <v>2</v>
          </cell>
          <cell r="W59">
            <v>3</v>
          </cell>
          <cell r="X59">
            <v>5</v>
          </cell>
          <cell r="Y59">
            <v>9</v>
          </cell>
          <cell r="Z59">
            <v>5</v>
          </cell>
          <cell r="AA59">
            <v>9</v>
          </cell>
          <cell r="AB59">
            <v>3</v>
          </cell>
          <cell r="AC59">
            <v>6</v>
          </cell>
          <cell r="AD59">
            <v>5</v>
          </cell>
          <cell r="AE59">
            <v>8</v>
          </cell>
          <cell r="AF59">
            <v>4</v>
          </cell>
          <cell r="AG59">
            <v>8</v>
          </cell>
          <cell r="AH59">
            <v>1</v>
          </cell>
          <cell r="AI59">
            <v>12</v>
          </cell>
          <cell r="AJ59">
            <v>5</v>
          </cell>
          <cell r="AK59">
            <v>10</v>
          </cell>
          <cell r="AL59">
            <v>3</v>
          </cell>
          <cell r="AM59">
            <v>7</v>
          </cell>
        </row>
        <row r="63">
          <cell r="C63">
            <v>42</v>
          </cell>
        </row>
      </sheetData>
      <sheetData sheetId="61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62"/>
      <sheetData sheetId="63"/>
      <sheetData sheetId="64"/>
      <sheetData sheetId="65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1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1</v>
          </cell>
          <cell r="AC59">
            <v>0</v>
          </cell>
          <cell r="AD59">
            <v>0</v>
          </cell>
          <cell r="AE59">
            <v>1</v>
          </cell>
          <cell r="AF59">
            <v>1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8</v>
          </cell>
        </row>
      </sheetData>
      <sheetData sheetId="66"/>
      <sheetData sheetId="67">
        <row r="59">
          <cell r="H59">
            <v>4</v>
          </cell>
          <cell r="I59">
            <v>3</v>
          </cell>
          <cell r="J59">
            <v>8</v>
          </cell>
          <cell r="K59">
            <v>2</v>
          </cell>
          <cell r="L59">
            <v>9</v>
          </cell>
          <cell r="M59">
            <v>6</v>
          </cell>
          <cell r="N59">
            <v>4</v>
          </cell>
          <cell r="O59">
            <v>6</v>
          </cell>
          <cell r="P59">
            <v>0</v>
          </cell>
          <cell r="Q59">
            <v>0</v>
          </cell>
          <cell r="R59">
            <v>3</v>
          </cell>
          <cell r="S59">
            <v>5</v>
          </cell>
          <cell r="T59">
            <v>1</v>
          </cell>
          <cell r="U59">
            <v>6</v>
          </cell>
          <cell r="V59">
            <v>0</v>
          </cell>
          <cell r="W59">
            <v>5</v>
          </cell>
          <cell r="X59">
            <v>0</v>
          </cell>
          <cell r="Y59">
            <v>3</v>
          </cell>
          <cell r="Z59">
            <v>1</v>
          </cell>
          <cell r="AA59">
            <v>6</v>
          </cell>
          <cell r="AB59">
            <v>2</v>
          </cell>
          <cell r="AC59">
            <v>5</v>
          </cell>
          <cell r="AD59">
            <v>3</v>
          </cell>
          <cell r="AE59">
            <v>8</v>
          </cell>
          <cell r="AF59">
            <v>3</v>
          </cell>
          <cell r="AG59">
            <v>12</v>
          </cell>
          <cell r="AH59">
            <v>4</v>
          </cell>
          <cell r="AI59">
            <v>4</v>
          </cell>
          <cell r="AJ59">
            <v>2</v>
          </cell>
          <cell r="AK59">
            <v>2</v>
          </cell>
          <cell r="AL59">
            <v>5</v>
          </cell>
          <cell r="AM59">
            <v>1</v>
          </cell>
        </row>
        <row r="63">
          <cell r="C63">
            <v>49</v>
          </cell>
        </row>
      </sheetData>
      <sheetData sheetId="68">
        <row r="59">
          <cell r="H59">
            <v>1</v>
          </cell>
          <cell r="I59">
            <v>2</v>
          </cell>
          <cell r="J59">
            <v>1</v>
          </cell>
          <cell r="K59">
            <v>1</v>
          </cell>
          <cell r="L59">
            <v>1</v>
          </cell>
          <cell r="M59">
            <v>0</v>
          </cell>
          <cell r="N59">
            <v>0</v>
          </cell>
          <cell r="O59">
            <v>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1</v>
          </cell>
          <cell r="V59">
            <v>0</v>
          </cell>
          <cell r="W59">
            <v>1</v>
          </cell>
          <cell r="X59">
            <v>0</v>
          </cell>
          <cell r="Y59">
            <v>2</v>
          </cell>
          <cell r="Z59">
            <v>1</v>
          </cell>
          <cell r="AA59">
            <v>3</v>
          </cell>
          <cell r="AB59">
            <v>1</v>
          </cell>
          <cell r="AC59">
            <v>0</v>
          </cell>
          <cell r="AD59">
            <v>1</v>
          </cell>
          <cell r="AE59">
            <v>3</v>
          </cell>
          <cell r="AF59">
            <v>1</v>
          </cell>
          <cell r="AG59">
            <v>2</v>
          </cell>
          <cell r="AH59">
            <v>1</v>
          </cell>
          <cell r="AI59">
            <v>1</v>
          </cell>
          <cell r="AJ59">
            <v>1</v>
          </cell>
          <cell r="AK59">
            <v>4</v>
          </cell>
          <cell r="AL59">
            <v>0</v>
          </cell>
          <cell r="AM59">
            <v>1</v>
          </cell>
        </row>
        <row r="63">
          <cell r="C63">
            <v>18</v>
          </cell>
        </row>
      </sheetData>
      <sheetData sheetId="69">
        <row r="59">
          <cell r="H59">
            <v>0</v>
          </cell>
          <cell r="I59">
            <v>1</v>
          </cell>
          <cell r="J59">
            <v>2</v>
          </cell>
          <cell r="K59">
            <v>0</v>
          </cell>
          <cell r="L59">
            <v>1</v>
          </cell>
          <cell r="M59">
            <v>0</v>
          </cell>
          <cell r="N59">
            <v>1</v>
          </cell>
          <cell r="O59">
            <v>0</v>
          </cell>
          <cell r="P59">
            <v>0</v>
          </cell>
          <cell r="Q59">
            <v>1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1</v>
          </cell>
          <cell r="X59">
            <v>0</v>
          </cell>
          <cell r="Y59">
            <v>1</v>
          </cell>
          <cell r="Z59">
            <v>0</v>
          </cell>
          <cell r="AA59">
            <v>0</v>
          </cell>
          <cell r="AB59">
            <v>0</v>
          </cell>
          <cell r="AC59">
            <v>1</v>
          </cell>
          <cell r="AD59">
            <v>1</v>
          </cell>
          <cell r="AE59">
            <v>2</v>
          </cell>
          <cell r="AF59">
            <v>1</v>
          </cell>
          <cell r="AG59">
            <v>1</v>
          </cell>
          <cell r="AH59">
            <v>0</v>
          </cell>
          <cell r="AI59">
            <v>0</v>
          </cell>
          <cell r="AJ59">
            <v>1</v>
          </cell>
          <cell r="AK59">
            <v>0</v>
          </cell>
          <cell r="AL59">
            <v>0</v>
          </cell>
          <cell r="AM59">
            <v>1</v>
          </cell>
        </row>
        <row r="63">
          <cell r="C63">
            <v>3</v>
          </cell>
        </row>
      </sheetData>
      <sheetData sheetId="70"/>
      <sheetData sheetId="71"/>
      <sheetData sheetId="72">
        <row r="59">
          <cell r="H59">
            <v>3</v>
          </cell>
          <cell r="I59">
            <v>5</v>
          </cell>
          <cell r="J59">
            <v>0</v>
          </cell>
          <cell r="K59">
            <v>2</v>
          </cell>
          <cell r="L59">
            <v>0</v>
          </cell>
          <cell r="M59">
            <v>0</v>
          </cell>
          <cell r="N59">
            <v>0</v>
          </cell>
          <cell r="O59">
            <v>1</v>
          </cell>
          <cell r="P59">
            <v>0</v>
          </cell>
          <cell r="Q59">
            <v>1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1</v>
          </cell>
          <cell r="Z59">
            <v>0</v>
          </cell>
          <cell r="AA59">
            <v>0</v>
          </cell>
          <cell r="AB59">
            <v>1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1</v>
          </cell>
          <cell r="AI59">
            <v>0</v>
          </cell>
          <cell r="AJ59">
            <v>0</v>
          </cell>
          <cell r="AK59">
            <v>1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73">
        <row r="59">
          <cell r="H59">
            <v>0</v>
          </cell>
          <cell r="I59">
            <v>2</v>
          </cell>
          <cell r="J59">
            <v>0</v>
          </cell>
          <cell r="K59">
            <v>3</v>
          </cell>
          <cell r="L59">
            <v>1</v>
          </cell>
          <cell r="M59">
            <v>1</v>
          </cell>
          <cell r="N59">
            <v>1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1</v>
          </cell>
          <cell r="Z59">
            <v>0</v>
          </cell>
          <cell r="AA59">
            <v>0</v>
          </cell>
          <cell r="AB59">
            <v>0</v>
          </cell>
          <cell r="AC59">
            <v>3</v>
          </cell>
          <cell r="AD59">
            <v>0</v>
          </cell>
          <cell r="AE59">
            <v>2</v>
          </cell>
          <cell r="AF59">
            <v>2</v>
          </cell>
          <cell r="AG59">
            <v>2</v>
          </cell>
          <cell r="AH59">
            <v>1</v>
          </cell>
          <cell r="AI59">
            <v>1</v>
          </cell>
          <cell r="AJ59">
            <v>2</v>
          </cell>
          <cell r="AK59">
            <v>2</v>
          </cell>
          <cell r="AL59">
            <v>0</v>
          </cell>
          <cell r="AM59">
            <v>0</v>
          </cell>
        </row>
        <row r="63">
          <cell r="C63">
            <v>3</v>
          </cell>
        </row>
      </sheetData>
      <sheetData sheetId="74">
        <row r="59">
          <cell r="H59">
            <v>0</v>
          </cell>
          <cell r="I59">
            <v>1</v>
          </cell>
          <cell r="J59">
            <v>0</v>
          </cell>
          <cell r="K59">
            <v>0</v>
          </cell>
          <cell r="L59">
            <v>1</v>
          </cell>
          <cell r="M59">
            <v>0</v>
          </cell>
          <cell r="N59">
            <v>0</v>
          </cell>
          <cell r="O59">
            <v>0</v>
          </cell>
          <cell r="P59">
            <v>1</v>
          </cell>
          <cell r="Q59">
            <v>1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3</v>
          </cell>
          <cell r="X59">
            <v>1</v>
          </cell>
          <cell r="Y59">
            <v>0</v>
          </cell>
          <cell r="Z59">
            <v>0</v>
          </cell>
          <cell r="AA59">
            <v>2</v>
          </cell>
          <cell r="AB59">
            <v>0</v>
          </cell>
          <cell r="AC59">
            <v>0</v>
          </cell>
          <cell r="AD59">
            <v>0</v>
          </cell>
          <cell r="AE59">
            <v>2</v>
          </cell>
          <cell r="AF59">
            <v>2</v>
          </cell>
          <cell r="AG59">
            <v>2</v>
          </cell>
          <cell r="AH59">
            <v>0</v>
          </cell>
          <cell r="AI59">
            <v>1</v>
          </cell>
          <cell r="AJ59">
            <v>0</v>
          </cell>
          <cell r="AK59">
            <v>0</v>
          </cell>
          <cell r="AL59">
            <v>2</v>
          </cell>
          <cell r="AM59">
            <v>1</v>
          </cell>
        </row>
        <row r="63">
          <cell r="C63">
            <v>8</v>
          </cell>
        </row>
      </sheetData>
      <sheetData sheetId="75"/>
      <sheetData sheetId="76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77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78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79"/>
      <sheetData sheetId="80">
        <row r="59">
          <cell r="H59">
            <v>5</v>
          </cell>
          <cell r="I59">
            <v>6</v>
          </cell>
          <cell r="J59">
            <v>5</v>
          </cell>
          <cell r="K59">
            <v>3</v>
          </cell>
          <cell r="L59">
            <v>8</v>
          </cell>
          <cell r="M59">
            <v>3</v>
          </cell>
          <cell r="N59">
            <v>1</v>
          </cell>
          <cell r="O59">
            <v>2</v>
          </cell>
          <cell r="P59">
            <v>0</v>
          </cell>
          <cell r="Q59">
            <v>3</v>
          </cell>
          <cell r="R59">
            <v>0</v>
          </cell>
          <cell r="S59">
            <v>4</v>
          </cell>
          <cell r="T59">
            <v>0</v>
          </cell>
          <cell r="U59">
            <v>4</v>
          </cell>
          <cell r="V59">
            <v>1</v>
          </cell>
          <cell r="W59">
            <v>3</v>
          </cell>
          <cell r="X59">
            <v>1</v>
          </cell>
          <cell r="Y59">
            <v>2</v>
          </cell>
          <cell r="Z59">
            <v>0</v>
          </cell>
          <cell r="AA59">
            <v>6</v>
          </cell>
          <cell r="AB59">
            <v>1</v>
          </cell>
          <cell r="AC59">
            <v>7</v>
          </cell>
          <cell r="AD59">
            <v>1</v>
          </cell>
          <cell r="AE59">
            <v>11</v>
          </cell>
          <cell r="AF59">
            <v>2</v>
          </cell>
          <cell r="AG59">
            <v>10</v>
          </cell>
          <cell r="AH59">
            <v>1</v>
          </cell>
          <cell r="AI59">
            <v>4</v>
          </cell>
          <cell r="AJ59">
            <v>0</v>
          </cell>
          <cell r="AK59">
            <v>3</v>
          </cell>
          <cell r="AL59">
            <v>2</v>
          </cell>
          <cell r="AM59">
            <v>2</v>
          </cell>
        </row>
        <row r="63">
          <cell r="C63">
            <v>45</v>
          </cell>
        </row>
      </sheetData>
      <sheetData sheetId="81">
        <row r="59">
          <cell r="H59">
            <v>1</v>
          </cell>
          <cell r="I59">
            <v>0</v>
          </cell>
          <cell r="J59">
            <v>3</v>
          </cell>
          <cell r="K59">
            <v>1</v>
          </cell>
          <cell r="L59">
            <v>0</v>
          </cell>
          <cell r="M59">
            <v>0</v>
          </cell>
          <cell r="N59">
            <v>0</v>
          </cell>
          <cell r="O59">
            <v>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2</v>
          </cell>
          <cell r="Y59">
            <v>1</v>
          </cell>
          <cell r="Z59">
            <v>0</v>
          </cell>
          <cell r="AA59">
            <v>2</v>
          </cell>
          <cell r="AB59">
            <v>1</v>
          </cell>
          <cell r="AC59">
            <v>1</v>
          </cell>
          <cell r="AD59">
            <v>1</v>
          </cell>
          <cell r="AE59">
            <v>2</v>
          </cell>
          <cell r="AF59">
            <v>0</v>
          </cell>
          <cell r="AG59">
            <v>0</v>
          </cell>
          <cell r="AH59">
            <v>0</v>
          </cell>
          <cell r="AI59">
            <v>1</v>
          </cell>
          <cell r="AJ59">
            <v>0</v>
          </cell>
          <cell r="AK59">
            <v>1</v>
          </cell>
          <cell r="AL59">
            <v>3</v>
          </cell>
          <cell r="AM59">
            <v>0</v>
          </cell>
        </row>
        <row r="63">
          <cell r="C63">
            <v>7</v>
          </cell>
        </row>
      </sheetData>
      <sheetData sheetId="82">
        <row r="59">
          <cell r="H59">
            <v>0</v>
          </cell>
          <cell r="I59">
            <v>0</v>
          </cell>
          <cell r="J59">
            <v>0</v>
          </cell>
          <cell r="K59">
            <v>1</v>
          </cell>
          <cell r="L59">
            <v>0</v>
          </cell>
          <cell r="M59">
            <v>1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1</v>
          </cell>
          <cell r="U59">
            <v>0</v>
          </cell>
          <cell r="V59">
            <v>0</v>
          </cell>
          <cell r="W59">
            <v>1</v>
          </cell>
          <cell r="X59">
            <v>0</v>
          </cell>
          <cell r="Y59">
            <v>1</v>
          </cell>
          <cell r="Z59">
            <v>1</v>
          </cell>
          <cell r="AA59">
            <v>1</v>
          </cell>
          <cell r="AB59">
            <v>1</v>
          </cell>
          <cell r="AC59">
            <v>1</v>
          </cell>
          <cell r="AD59">
            <v>0</v>
          </cell>
          <cell r="AE59">
            <v>1</v>
          </cell>
          <cell r="AF59">
            <v>1</v>
          </cell>
          <cell r="AG59">
            <v>1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7</v>
          </cell>
        </row>
      </sheetData>
      <sheetData sheetId="83"/>
      <sheetData sheetId="84">
        <row r="59">
          <cell r="H59">
            <v>3</v>
          </cell>
          <cell r="I59">
            <v>5</v>
          </cell>
          <cell r="J59">
            <v>12</v>
          </cell>
          <cell r="K59">
            <v>5</v>
          </cell>
          <cell r="L59">
            <v>7</v>
          </cell>
          <cell r="M59">
            <v>4</v>
          </cell>
          <cell r="N59">
            <v>1</v>
          </cell>
          <cell r="O59">
            <v>3</v>
          </cell>
          <cell r="P59">
            <v>0</v>
          </cell>
          <cell r="Q59">
            <v>4</v>
          </cell>
          <cell r="R59">
            <v>2</v>
          </cell>
          <cell r="S59">
            <v>3</v>
          </cell>
          <cell r="T59">
            <v>0</v>
          </cell>
          <cell r="U59">
            <v>3</v>
          </cell>
          <cell r="V59">
            <v>2</v>
          </cell>
          <cell r="W59">
            <v>1</v>
          </cell>
          <cell r="X59">
            <v>1</v>
          </cell>
          <cell r="Y59">
            <v>3</v>
          </cell>
          <cell r="Z59">
            <v>1</v>
          </cell>
          <cell r="AA59">
            <v>4</v>
          </cell>
          <cell r="AB59">
            <v>2</v>
          </cell>
          <cell r="AC59">
            <v>2</v>
          </cell>
          <cell r="AD59">
            <v>6</v>
          </cell>
          <cell r="AE59">
            <v>4</v>
          </cell>
          <cell r="AF59">
            <v>3</v>
          </cell>
          <cell r="AG59">
            <v>6</v>
          </cell>
          <cell r="AH59">
            <v>2</v>
          </cell>
          <cell r="AI59">
            <v>4</v>
          </cell>
          <cell r="AJ59">
            <v>1</v>
          </cell>
          <cell r="AK59">
            <v>3</v>
          </cell>
          <cell r="AL59">
            <v>4</v>
          </cell>
          <cell r="AM59">
            <v>4</v>
          </cell>
        </row>
        <row r="63">
          <cell r="C63">
            <v>36</v>
          </cell>
        </row>
      </sheetData>
      <sheetData sheetId="85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86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6</v>
          </cell>
        </row>
      </sheetData>
      <sheetData sheetId="87"/>
      <sheetData sheetId="88">
        <row r="59">
          <cell r="H59">
            <v>5</v>
          </cell>
          <cell r="I59">
            <v>2</v>
          </cell>
          <cell r="J59">
            <v>6</v>
          </cell>
          <cell r="K59">
            <v>1</v>
          </cell>
          <cell r="L59">
            <v>3</v>
          </cell>
          <cell r="M59">
            <v>0</v>
          </cell>
          <cell r="N59">
            <v>1</v>
          </cell>
          <cell r="O59">
            <v>2</v>
          </cell>
          <cell r="P59">
            <v>0</v>
          </cell>
          <cell r="Q59">
            <v>3</v>
          </cell>
          <cell r="R59">
            <v>1</v>
          </cell>
          <cell r="S59">
            <v>7</v>
          </cell>
          <cell r="T59">
            <v>0</v>
          </cell>
          <cell r="U59">
            <v>4</v>
          </cell>
          <cell r="V59">
            <v>0</v>
          </cell>
          <cell r="W59">
            <v>3</v>
          </cell>
          <cell r="X59">
            <v>0</v>
          </cell>
          <cell r="Y59">
            <v>6</v>
          </cell>
          <cell r="Z59">
            <v>3</v>
          </cell>
          <cell r="AA59">
            <v>3</v>
          </cell>
          <cell r="AB59">
            <v>3</v>
          </cell>
          <cell r="AC59">
            <v>3</v>
          </cell>
          <cell r="AD59">
            <v>3</v>
          </cell>
          <cell r="AE59">
            <v>3</v>
          </cell>
          <cell r="AF59">
            <v>2</v>
          </cell>
          <cell r="AG59">
            <v>5</v>
          </cell>
          <cell r="AH59">
            <v>0</v>
          </cell>
          <cell r="AI59">
            <v>3</v>
          </cell>
          <cell r="AJ59">
            <v>0</v>
          </cell>
          <cell r="AK59">
            <v>2</v>
          </cell>
          <cell r="AL59">
            <v>0</v>
          </cell>
          <cell r="AM59">
            <v>1</v>
          </cell>
        </row>
        <row r="63">
          <cell r="C63">
            <v>88</v>
          </cell>
        </row>
      </sheetData>
      <sheetData sheetId="89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1</v>
          </cell>
          <cell r="X59">
            <v>0</v>
          </cell>
          <cell r="Y59">
            <v>1</v>
          </cell>
          <cell r="Z59">
            <v>1</v>
          </cell>
          <cell r="AA59">
            <v>0</v>
          </cell>
          <cell r="AB59">
            <v>1</v>
          </cell>
          <cell r="AC59">
            <v>1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1</v>
          </cell>
          <cell r="AL59">
            <v>0</v>
          </cell>
          <cell r="AM59">
            <v>0</v>
          </cell>
        </row>
        <row r="63">
          <cell r="C63">
            <v>6</v>
          </cell>
        </row>
      </sheetData>
      <sheetData sheetId="90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1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1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8</v>
          </cell>
        </row>
      </sheetData>
      <sheetData sheetId="91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1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1</v>
          </cell>
          <cell r="AF59">
            <v>0</v>
          </cell>
          <cell r="AG59">
            <v>1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12</v>
          </cell>
        </row>
      </sheetData>
      <sheetData sheetId="92"/>
      <sheetData sheetId="93"/>
      <sheetData sheetId="94"/>
      <sheetData sheetId="95">
        <row r="59">
          <cell r="H59">
            <v>53</v>
          </cell>
          <cell r="I59">
            <v>34</v>
          </cell>
          <cell r="J59">
            <v>26</v>
          </cell>
          <cell r="K59">
            <v>27</v>
          </cell>
          <cell r="L59">
            <v>33</v>
          </cell>
          <cell r="M59">
            <v>16</v>
          </cell>
          <cell r="N59">
            <v>16</v>
          </cell>
          <cell r="O59">
            <v>11</v>
          </cell>
          <cell r="P59">
            <v>16</v>
          </cell>
          <cell r="Q59">
            <v>18</v>
          </cell>
          <cell r="R59">
            <v>6</v>
          </cell>
          <cell r="S59">
            <v>12</v>
          </cell>
          <cell r="T59">
            <v>3</v>
          </cell>
          <cell r="U59">
            <v>15</v>
          </cell>
          <cell r="V59">
            <v>4</v>
          </cell>
          <cell r="W59">
            <v>20</v>
          </cell>
          <cell r="X59">
            <v>5</v>
          </cell>
          <cell r="Y59">
            <v>20</v>
          </cell>
          <cell r="Z59">
            <v>7</v>
          </cell>
          <cell r="AA59">
            <v>25</v>
          </cell>
          <cell r="AB59">
            <v>12</v>
          </cell>
          <cell r="AC59">
            <v>34</v>
          </cell>
          <cell r="AD59">
            <v>9</v>
          </cell>
          <cell r="AE59">
            <v>45</v>
          </cell>
          <cell r="AF59">
            <v>19</v>
          </cell>
          <cell r="AG59">
            <v>45</v>
          </cell>
          <cell r="AH59">
            <v>7</v>
          </cell>
          <cell r="AI59">
            <v>39</v>
          </cell>
          <cell r="AJ59">
            <v>14</v>
          </cell>
          <cell r="AK59">
            <v>32</v>
          </cell>
          <cell r="AL59">
            <v>16</v>
          </cell>
          <cell r="AM59">
            <v>42</v>
          </cell>
        </row>
        <row r="63">
          <cell r="C63">
            <v>235</v>
          </cell>
        </row>
      </sheetData>
      <sheetData sheetId="96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97">
        <row r="59">
          <cell r="H59">
            <v>18</v>
          </cell>
          <cell r="I59">
            <v>17</v>
          </cell>
          <cell r="J59">
            <v>34</v>
          </cell>
          <cell r="K59">
            <v>0</v>
          </cell>
          <cell r="L59">
            <v>11</v>
          </cell>
          <cell r="M59">
            <v>0</v>
          </cell>
          <cell r="N59">
            <v>2</v>
          </cell>
          <cell r="O59">
            <v>16</v>
          </cell>
          <cell r="P59">
            <v>4</v>
          </cell>
          <cell r="Q59">
            <v>14</v>
          </cell>
          <cell r="R59">
            <v>2</v>
          </cell>
          <cell r="S59">
            <v>7</v>
          </cell>
          <cell r="T59">
            <v>5</v>
          </cell>
          <cell r="U59">
            <v>17</v>
          </cell>
          <cell r="V59">
            <v>3</v>
          </cell>
          <cell r="W59">
            <v>11</v>
          </cell>
          <cell r="X59">
            <v>4</v>
          </cell>
          <cell r="Y59">
            <v>13</v>
          </cell>
          <cell r="Z59">
            <v>3</v>
          </cell>
          <cell r="AA59">
            <v>10</v>
          </cell>
          <cell r="AB59">
            <v>9</v>
          </cell>
          <cell r="AC59">
            <v>5</v>
          </cell>
          <cell r="AD59">
            <v>4</v>
          </cell>
          <cell r="AE59">
            <v>26</v>
          </cell>
          <cell r="AF59">
            <v>8</v>
          </cell>
          <cell r="AG59">
            <v>27</v>
          </cell>
          <cell r="AH59">
            <v>1</v>
          </cell>
          <cell r="AI59">
            <v>15</v>
          </cell>
          <cell r="AJ59">
            <v>5</v>
          </cell>
          <cell r="AK59">
            <v>8</v>
          </cell>
          <cell r="AL59">
            <v>2</v>
          </cell>
          <cell r="AM59">
            <v>6</v>
          </cell>
        </row>
        <row r="63">
          <cell r="C63">
            <v>153</v>
          </cell>
        </row>
      </sheetData>
      <sheetData sheetId="98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99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100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101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102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103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104"/>
      <sheetData sheetId="105">
        <row r="59">
          <cell r="H59">
            <v>31</v>
          </cell>
          <cell r="I59">
            <v>25</v>
          </cell>
          <cell r="J59">
            <v>31</v>
          </cell>
          <cell r="K59">
            <v>16</v>
          </cell>
          <cell r="L59">
            <v>12</v>
          </cell>
          <cell r="M59">
            <v>24</v>
          </cell>
          <cell r="N59">
            <v>4</v>
          </cell>
          <cell r="O59">
            <v>5</v>
          </cell>
          <cell r="P59">
            <v>2</v>
          </cell>
          <cell r="Q59">
            <v>2</v>
          </cell>
          <cell r="R59">
            <v>4</v>
          </cell>
          <cell r="S59">
            <v>3</v>
          </cell>
          <cell r="T59">
            <v>7</v>
          </cell>
          <cell r="U59">
            <v>7</v>
          </cell>
          <cell r="V59">
            <v>2</v>
          </cell>
          <cell r="W59">
            <v>9</v>
          </cell>
          <cell r="X59">
            <v>3</v>
          </cell>
          <cell r="Y59">
            <v>8</v>
          </cell>
          <cell r="Z59">
            <v>6</v>
          </cell>
          <cell r="AA59">
            <v>16</v>
          </cell>
          <cell r="AB59">
            <v>6</v>
          </cell>
          <cell r="AC59">
            <v>18</v>
          </cell>
          <cell r="AD59">
            <v>7</v>
          </cell>
          <cell r="AE59">
            <v>14</v>
          </cell>
          <cell r="AF59">
            <v>8</v>
          </cell>
          <cell r="AG59">
            <v>14</v>
          </cell>
          <cell r="AH59">
            <v>3</v>
          </cell>
          <cell r="AI59">
            <v>14</v>
          </cell>
          <cell r="AJ59">
            <v>1</v>
          </cell>
          <cell r="AK59">
            <v>8</v>
          </cell>
          <cell r="AL59">
            <v>4</v>
          </cell>
          <cell r="AM59">
            <v>7</v>
          </cell>
        </row>
        <row r="63">
          <cell r="C63">
            <v>111</v>
          </cell>
        </row>
      </sheetData>
      <sheetData sheetId="106">
        <row r="59">
          <cell r="H59">
            <v>4</v>
          </cell>
          <cell r="I59">
            <v>5</v>
          </cell>
          <cell r="J59">
            <v>4</v>
          </cell>
          <cell r="K59">
            <v>4</v>
          </cell>
          <cell r="L59">
            <v>1</v>
          </cell>
          <cell r="M59">
            <v>3</v>
          </cell>
          <cell r="N59">
            <v>1</v>
          </cell>
          <cell r="O59">
            <v>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1</v>
          </cell>
          <cell r="X59">
            <v>1</v>
          </cell>
          <cell r="Y59">
            <v>2</v>
          </cell>
          <cell r="Z59">
            <v>0</v>
          </cell>
          <cell r="AA59">
            <v>2</v>
          </cell>
          <cell r="AB59">
            <v>0</v>
          </cell>
          <cell r="AC59">
            <v>3</v>
          </cell>
          <cell r="AD59">
            <v>2</v>
          </cell>
          <cell r="AE59">
            <v>2</v>
          </cell>
          <cell r="AF59">
            <v>0</v>
          </cell>
          <cell r="AG59">
            <v>3</v>
          </cell>
          <cell r="AH59">
            <v>1</v>
          </cell>
          <cell r="AI59">
            <v>3</v>
          </cell>
          <cell r="AJ59">
            <v>0</v>
          </cell>
          <cell r="AK59">
            <v>0</v>
          </cell>
          <cell r="AL59">
            <v>1</v>
          </cell>
          <cell r="AM59">
            <v>0</v>
          </cell>
        </row>
        <row r="63">
          <cell r="C63">
            <v>7</v>
          </cell>
        </row>
      </sheetData>
      <sheetData sheetId="107">
        <row r="59">
          <cell r="H59">
            <v>2</v>
          </cell>
          <cell r="I59">
            <v>6</v>
          </cell>
          <cell r="J59">
            <v>2</v>
          </cell>
          <cell r="K59">
            <v>4</v>
          </cell>
          <cell r="L59">
            <v>2</v>
          </cell>
          <cell r="M59">
            <v>3</v>
          </cell>
          <cell r="N59">
            <v>0</v>
          </cell>
          <cell r="O59">
            <v>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3</v>
          </cell>
          <cell r="X59">
            <v>0</v>
          </cell>
          <cell r="Y59">
            <v>1</v>
          </cell>
          <cell r="Z59">
            <v>0</v>
          </cell>
          <cell r="AA59">
            <v>2</v>
          </cell>
          <cell r="AB59">
            <v>1</v>
          </cell>
          <cell r="AC59">
            <v>1</v>
          </cell>
          <cell r="AD59">
            <v>0</v>
          </cell>
          <cell r="AE59">
            <v>1</v>
          </cell>
          <cell r="AF59">
            <v>1</v>
          </cell>
          <cell r="AG59">
            <v>1</v>
          </cell>
          <cell r="AH59">
            <v>2</v>
          </cell>
          <cell r="AI59">
            <v>1</v>
          </cell>
          <cell r="AJ59">
            <v>0</v>
          </cell>
          <cell r="AK59">
            <v>0</v>
          </cell>
          <cell r="AL59">
            <v>0</v>
          </cell>
          <cell r="AM59">
            <v>3</v>
          </cell>
        </row>
        <row r="63">
          <cell r="C63">
            <v>19</v>
          </cell>
        </row>
      </sheetData>
      <sheetData sheetId="108">
        <row r="59">
          <cell r="H59">
            <v>4</v>
          </cell>
          <cell r="I59">
            <v>1</v>
          </cell>
          <cell r="J59">
            <v>1</v>
          </cell>
          <cell r="K59">
            <v>0</v>
          </cell>
          <cell r="L59">
            <v>0</v>
          </cell>
          <cell r="M59">
            <v>1</v>
          </cell>
          <cell r="N59">
            <v>0</v>
          </cell>
          <cell r="O59">
            <v>0</v>
          </cell>
          <cell r="P59">
            <v>1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2</v>
          </cell>
          <cell r="Z59">
            <v>0</v>
          </cell>
          <cell r="AA59">
            <v>1</v>
          </cell>
          <cell r="AB59">
            <v>1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1</v>
          </cell>
          <cell r="AJ59">
            <v>1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8</v>
          </cell>
        </row>
      </sheetData>
      <sheetData sheetId="109">
        <row r="59">
          <cell r="H59">
            <v>2</v>
          </cell>
          <cell r="I59">
            <v>2</v>
          </cell>
          <cell r="J59">
            <v>2</v>
          </cell>
          <cell r="K59">
            <v>1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1</v>
          </cell>
          <cell r="AB59">
            <v>0</v>
          </cell>
          <cell r="AC59">
            <v>1</v>
          </cell>
          <cell r="AD59">
            <v>0</v>
          </cell>
          <cell r="AE59">
            <v>0</v>
          </cell>
          <cell r="AF59">
            <v>0</v>
          </cell>
          <cell r="AG59">
            <v>1</v>
          </cell>
          <cell r="AH59">
            <v>0</v>
          </cell>
          <cell r="AI59">
            <v>0</v>
          </cell>
          <cell r="AJ59">
            <v>1</v>
          </cell>
          <cell r="AK59">
            <v>1</v>
          </cell>
          <cell r="AL59">
            <v>0</v>
          </cell>
          <cell r="AM59">
            <v>1</v>
          </cell>
        </row>
        <row r="63">
          <cell r="C63">
            <v>8</v>
          </cell>
        </row>
      </sheetData>
      <sheetData sheetId="110">
        <row r="59">
          <cell r="H59">
            <v>14</v>
          </cell>
          <cell r="I59">
            <v>17</v>
          </cell>
          <cell r="J59">
            <v>16</v>
          </cell>
          <cell r="K59">
            <v>5</v>
          </cell>
          <cell r="L59">
            <v>10</v>
          </cell>
          <cell r="M59">
            <v>4</v>
          </cell>
          <cell r="N59">
            <v>3</v>
          </cell>
          <cell r="O59">
            <v>1</v>
          </cell>
          <cell r="P59">
            <v>2</v>
          </cell>
          <cell r="Q59">
            <v>3</v>
          </cell>
          <cell r="R59">
            <v>1</v>
          </cell>
          <cell r="S59">
            <v>0</v>
          </cell>
          <cell r="T59">
            <v>1</v>
          </cell>
          <cell r="U59">
            <v>2</v>
          </cell>
          <cell r="V59">
            <v>0</v>
          </cell>
          <cell r="W59">
            <v>2</v>
          </cell>
          <cell r="X59">
            <v>1</v>
          </cell>
          <cell r="Y59">
            <v>8</v>
          </cell>
          <cell r="Z59">
            <v>0</v>
          </cell>
          <cell r="AA59">
            <v>5</v>
          </cell>
          <cell r="AB59">
            <v>4</v>
          </cell>
          <cell r="AC59">
            <v>9</v>
          </cell>
          <cell r="AD59">
            <v>6</v>
          </cell>
          <cell r="AE59">
            <v>4</v>
          </cell>
          <cell r="AF59">
            <v>2</v>
          </cell>
          <cell r="AG59">
            <v>11</v>
          </cell>
          <cell r="AH59">
            <v>1</v>
          </cell>
          <cell r="AI59">
            <v>5</v>
          </cell>
          <cell r="AJ59">
            <v>3</v>
          </cell>
          <cell r="AK59">
            <v>5</v>
          </cell>
          <cell r="AL59">
            <v>3</v>
          </cell>
          <cell r="AM59">
            <v>6</v>
          </cell>
        </row>
        <row r="63">
          <cell r="C63">
            <v>33</v>
          </cell>
        </row>
      </sheetData>
      <sheetData sheetId="111"/>
      <sheetData sheetId="112">
        <row r="59">
          <cell r="H59">
            <v>3</v>
          </cell>
          <cell r="I59">
            <v>5</v>
          </cell>
          <cell r="J59">
            <v>2</v>
          </cell>
          <cell r="K59">
            <v>3</v>
          </cell>
          <cell r="L59">
            <v>1</v>
          </cell>
          <cell r="M59">
            <v>2</v>
          </cell>
          <cell r="N59">
            <v>0</v>
          </cell>
          <cell r="O59">
            <v>6</v>
          </cell>
          <cell r="P59">
            <v>0</v>
          </cell>
          <cell r="Q59">
            <v>3</v>
          </cell>
          <cell r="R59">
            <v>1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3</v>
          </cell>
          <cell r="X59">
            <v>1</v>
          </cell>
          <cell r="Y59">
            <v>4</v>
          </cell>
          <cell r="Z59">
            <v>0</v>
          </cell>
          <cell r="AA59">
            <v>5</v>
          </cell>
          <cell r="AB59">
            <v>0</v>
          </cell>
          <cell r="AC59">
            <v>6</v>
          </cell>
          <cell r="AD59">
            <v>1</v>
          </cell>
          <cell r="AE59">
            <v>2</v>
          </cell>
          <cell r="AF59">
            <v>1</v>
          </cell>
          <cell r="AG59">
            <v>6</v>
          </cell>
          <cell r="AH59">
            <v>2</v>
          </cell>
          <cell r="AI59">
            <v>3</v>
          </cell>
          <cell r="AJ59">
            <v>3</v>
          </cell>
          <cell r="AK59">
            <v>2</v>
          </cell>
          <cell r="AL59">
            <v>1</v>
          </cell>
          <cell r="AM59">
            <v>5</v>
          </cell>
        </row>
        <row r="63">
          <cell r="C63">
            <v>42</v>
          </cell>
        </row>
      </sheetData>
      <sheetData sheetId="113">
        <row r="59">
          <cell r="H59">
            <v>0</v>
          </cell>
          <cell r="I59">
            <v>0</v>
          </cell>
          <cell r="J59">
            <v>2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1</v>
          </cell>
          <cell r="P59">
            <v>2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3</v>
          </cell>
          <cell r="AC59">
            <v>1</v>
          </cell>
          <cell r="AD59">
            <v>0</v>
          </cell>
          <cell r="AE59">
            <v>3</v>
          </cell>
          <cell r="AF59">
            <v>0</v>
          </cell>
          <cell r="AG59">
            <v>2</v>
          </cell>
          <cell r="AH59">
            <v>0</v>
          </cell>
          <cell r="AI59">
            <v>1</v>
          </cell>
          <cell r="AJ59">
            <v>1</v>
          </cell>
          <cell r="AK59">
            <v>0</v>
          </cell>
          <cell r="AL59">
            <v>1</v>
          </cell>
          <cell r="AM59">
            <v>0</v>
          </cell>
        </row>
        <row r="63">
          <cell r="C63">
            <v>1</v>
          </cell>
        </row>
      </sheetData>
      <sheetData sheetId="114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1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1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4</v>
          </cell>
        </row>
      </sheetData>
      <sheetData sheetId="115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3</v>
          </cell>
        </row>
      </sheetData>
      <sheetData sheetId="116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1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1</v>
          </cell>
          <cell r="AE59">
            <v>0</v>
          </cell>
          <cell r="AF59">
            <v>1</v>
          </cell>
          <cell r="AG59">
            <v>0</v>
          </cell>
          <cell r="AH59">
            <v>0</v>
          </cell>
          <cell r="AI59">
            <v>0</v>
          </cell>
          <cell r="AJ59">
            <v>2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3</v>
          </cell>
        </row>
      </sheetData>
      <sheetData sheetId="117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1</v>
          </cell>
        </row>
      </sheetData>
      <sheetData sheetId="118"/>
      <sheetData sheetId="119">
        <row r="59">
          <cell r="H59">
            <v>7</v>
          </cell>
          <cell r="I59">
            <v>3</v>
          </cell>
          <cell r="J59">
            <v>9</v>
          </cell>
          <cell r="K59">
            <v>11</v>
          </cell>
          <cell r="L59">
            <v>4</v>
          </cell>
          <cell r="M59">
            <v>10</v>
          </cell>
          <cell r="N59">
            <v>5</v>
          </cell>
          <cell r="O59">
            <v>5</v>
          </cell>
          <cell r="P59">
            <v>1</v>
          </cell>
          <cell r="Q59">
            <v>4</v>
          </cell>
          <cell r="R59">
            <v>1</v>
          </cell>
          <cell r="S59">
            <v>2</v>
          </cell>
          <cell r="T59">
            <v>0</v>
          </cell>
          <cell r="U59">
            <v>3</v>
          </cell>
          <cell r="V59">
            <v>0</v>
          </cell>
          <cell r="W59">
            <v>3</v>
          </cell>
          <cell r="X59">
            <v>1</v>
          </cell>
          <cell r="Y59">
            <v>2</v>
          </cell>
          <cell r="Z59">
            <v>1</v>
          </cell>
          <cell r="AA59">
            <v>5</v>
          </cell>
          <cell r="AB59">
            <v>0</v>
          </cell>
          <cell r="AC59">
            <v>4</v>
          </cell>
          <cell r="AD59">
            <v>1</v>
          </cell>
          <cell r="AE59">
            <v>6</v>
          </cell>
          <cell r="AF59">
            <v>1</v>
          </cell>
          <cell r="AG59">
            <v>11</v>
          </cell>
          <cell r="AH59">
            <v>3</v>
          </cell>
          <cell r="AI59">
            <v>5</v>
          </cell>
          <cell r="AJ59">
            <v>3</v>
          </cell>
          <cell r="AK59">
            <v>5</v>
          </cell>
          <cell r="AL59">
            <v>1</v>
          </cell>
          <cell r="AM59">
            <v>1</v>
          </cell>
        </row>
        <row r="63">
          <cell r="C63">
            <v>31</v>
          </cell>
        </row>
      </sheetData>
      <sheetData sheetId="120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121">
        <row r="59"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</row>
        <row r="63">
          <cell r="C63">
            <v>0</v>
          </cell>
        </row>
      </sheetData>
      <sheetData sheetId="122"/>
      <sheetData sheetId="123">
        <row r="59">
          <cell r="H59">
            <v>8</v>
          </cell>
          <cell r="I59">
            <v>9</v>
          </cell>
          <cell r="J59">
            <v>13</v>
          </cell>
          <cell r="K59">
            <v>12</v>
          </cell>
          <cell r="L59">
            <v>15</v>
          </cell>
          <cell r="M59">
            <v>5</v>
          </cell>
          <cell r="N59">
            <v>2</v>
          </cell>
          <cell r="O59">
            <v>7</v>
          </cell>
          <cell r="P59">
            <v>2</v>
          </cell>
          <cell r="Q59">
            <v>2</v>
          </cell>
          <cell r="R59">
            <v>1</v>
          </cell>
          <cell r="S59">
            <v>1</v>
          </cell>
          <cell r="T59">
            <v>1</v>
          </cell>
          <cell r="U59">
            <v>3</v>
          </cell>
          <cell r="V59">
            <v>2</v>
          </cell>
          <cell r="W59">
            <v>2</v>
          </cell>
          <cell r="X59">
            <v>1</v>
          </cell>
          <cell r="Y59">
            <v>4</v>
          </cell>
          <cell r="Z59">
            <v>2</v>
          </cell>
          <cell r="AA59">
            <v>8</v>
          </cell>
          <cell r="AB59">
            <v>0</v>
          </cell>
          <cell r="AC59">
            <v>7</v>
          </cell>
          <cell r="AD59">
            <v>3</v>
          </cell>
          <cell r="AE59">
            <v>5</v>
          </cell>
          <cell r="AF59">
            <v>2</v>
          </cell>
          <cell r="AG59">
            <v>5</v>
          </cell>
          <cell r="AH59">
            <v>1</v>
          </cell>
          <cell r="AI59">
            <v>5</v>
          </cell>
          <cell r="AJ59">
            <v>0</v>
          </cell>
          <cell r="AK59">
            <v>3</v>
          </cell>
          <cell r="AL59">
            <v>3</v>
          </cell>
          <cell r="AM59">
            <v>3</v>
          </cell>
        </row>
        <row r="63">
          <cell r="C63">
            <v>38</v>
          </cell>
        </row>
      </sheetData>
      <sheetData sheetId="124">
        <row r="59">
          <cell r="H59">
            <v>10</v>
          </cell>
          <cell r="I59">
            <v>6</v>
          </cell>
          <cell r="J59">
            <v>6</v>
          </cell>
          <cell r="K59">
            <v>7</v>
          </cell>
          <cell r="L59">
            <v>6</v>
          </cell>
          <cell r="M59">
            <v>3</v>
          </cell>
          <cell r="N59">
            <v>0</v>
          </cell>
          <cell r="O59">
            <v>1</v>
          </cell>
          <cell r="P59">
            <v>2</v>
          </cell>
          <cell r="Q59">
            <v>0</v>
          </cell>
          <cell r="R59">
            <v>0</v>
          </cell>
          <cell r="S59">
            <v>2</v>
          </cell>
          <cell r="T59">
            <v>0</v>
          </cell>
          <cell r="U59">
            <v>3</v>
          </cell>
          <cell r="V59">
            <v>0</v>
          </cell>
          <cell r="W59">
            <v>2</v>
          </cell>
          <cell r="X59">
            <v>0</v>
          </cell>
          <cell r="Y59">
            <v>3</v>
          </cell>
          <cell r="Z59">
            <v>2</v>
          </cell>
          <cell r="AA59">
            <v>2</v>
          </cell>
          <cell r="AB59">
            <v>2</v>
          </cell>
          <cell r="AC59">
            <v>9</v>
          </cell>
          <cell r="AD59">
            <v>1</v>
          </cell>
          <cell r="AE59">
            <v>3</v>
          </cell>
          <cell r="AF59">
            <v>0</v>
          </cell>
          <cell r="AG59">
            <v>4</v>
          </cell>
          <cell r="AH59">
            <v>0</v>
          </cell>
          <cell r="AI59">
            <v>2</v>
          </cell>
          <cell r="AJ59">
            <v>1</v>
          </cell>
          <cell r="AK59">
            <v>2</v>
          </cell>
          <cell r="AL59">
            <v>0</v>
          </cell>
          <cell r="AM59">
            <v>2</v>
          </cell>
        </row>
        <row r="63">
          <cell r="C63">
            <v>40</v>
          </cell>
        </row>
      </sheetData>
      <sheetData sheetId="12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</sheetPr>
  <dimension ref="E1:X73"/>
  <sheetViews>
    <sheetView showGridLines="0" topLeftCell="A25" zoomScale="68" zoomScaleNormal="68" workbookViewId="0">
      <selection activeCell="AC58" sqref="AC58"/>
    </sheetView>
  </sheetViews>
  <sheetFormatPr baseColWidth="10" defaultRowHeight="12.75" x14ac:dyDescent="0.25"/>
  <cols>
    <col min="1" max="4" width="10.140625" style="107" customWidth="1"/>
    <col min="5" max="5" width="3.85546875" style="107" customWidth="1"/>
    <col min="6" max="6" width="11.42578125" style="107"/>
    <col min="7" max="7" width="12.85546875" style="107" customWidth="1"/>
    <col min="8" max="8" width="10.140625" style="107" customWidth="1"/>
    <col min="9" max="13" width="11.42578125" style="107"/>
    <col min="14" max="14" width="15.140625" style="107" customWidth="1"/>
    <col min="15" max="15" width="10.5703125" style="107" customWidth="1"/>
    <col min="16" max="21" width="11.42578125" style="107"/>
    <col min="22" max="22" width="15" style="107" customWidth="1"/>
    <col min="23" max="23" width="10.85546875" style="107" customWidth="1"/>
    <col min="24" max="24" width="10.5703125" style="107" customWidth="1"/>
    <col min="25" max="25" width="26.7109375" style="107" customWidth="1"/>
    <col min="26" max="26" width="11.42578125" style="107" customWidth="1"/>
    <col min="27" max="16384" width="11.42578125" style="107"/>
  </cols>
  <sheetData>
    <row r="1" spans="5:24" ht="26.25" x14ac:dyDescent="0.25">
      <c r="E1" s="105"/>
      <c r="F1" s="105"/>
      <c r="G1" s="105"/>
      <c r="H1" s="105"/>
      <c r="I1" s="105"/>
      <c r="J1" s="105"/>
      <c r="K1" s="106" t="s">
        <v>148</v>
      </c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</row>
    <row r="2" spans="5:24" x14ac:dyDescent="0.25"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</row>
    <row r="3" spans="5:24" x14ac:dyDescent="0.25"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</row>
    <row r="4" spans="5:24" x14ac:dyDescent="0.25"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</row>
    <row r="5" spans="5:24" x14ac:dyDescent="0.25"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</row>
    <row r="6" spans="5:24" x14ac:dyDescent="0.25"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</row>
    <row r="7" spans="5:24" x14ac:dyDescent="0.25"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</row>
    <row r="8" spans="5:24" x14ac:dyDescent="0.25"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</row>
    <row r="9" spans="5:24" x14ac:dyDescent="0.25"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</row>
    <row r="10" spans="5:24" x14ac:dyDescent="0.25"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</row>
    <row r="11" spans="5:24" x14ac:dyDescent="0.25"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</row>
    <row r="12" spans="5:24" x14ac:dyDescent="0.25">
      <c r="E12" s="105"/>
      <c r="F12" s="105"/>
      <c r="G12" s="105"/>
      <c r="H12" s="105" t="s">
        <v>149</v>
      </c>
      <c r="I12" s="105"/>
      <c r="J12" s="105" t="s">
        <v>150</v>
      </c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</row>
    <row r="13" spans="5:24" x14ac:dyDescent="0.25">
      <c r="E13" s="105"/>
      <c r="F13" s="105"/>
      <c r="G13" s="105"/>
      <c r="H13" s="108">
        <f>Q63/100</f>
        <v>0.88250698932936611</v>
      </c>
      <c r="I13" s="105"/>
      <c r="J13" s="108">
        <f>Q67/100</f>
        <v>0.99799786657854839</v>
      </c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</row>
    <row r="14" spans="5:24" x14ac:dyDescent="0.25"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</row>
    <row r="15" spans="5:24" x14ac:dyDescent="0.25"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9" t="s">
        <v>151</v>
      </c>
      <c r="Q15" s="105"/>
      <c r="R15" s="105"/>
      <c r="S15" s="105"/>
      <c r="T15" s="105"/>
      <c r="U15" s="105"/>
      <c r="V15" s="105"/>
      <c r="W15" s="105"/>
      <c r="X15" s="105"/>
    </row>
    <row r="16" spans="5:24" x14ac:dyDescent="0.25">
      <c r="E16" s="105"/>
      <c r="F16" s="105"/>
      <c r="G16" s="105"/>
      <c r="H16" s="105"/>
      <c r="I16" s="105"/>
      <c r="J16" s="105"/>
      <c r="K16" s="105"/>
      <c r="L16" s="105"/>
      <c r="M16" s="105"/>
      <c r="N16" s="105" t="s">
        <v>152</v>
      </c>
      <c r="O16" s="105"/>
      <c r="P16" s="110">
        <f>W66/100</f>
        <v>0.89441256292221538</v>
      </c>
      <c r="Q16" s="105"/>
      <c r="R16" s="105"/>
      <c r="S16" s="105"/>
      <c r="T16" s="105"/>
      <c r="U16" s="105"/>
      <c r="V16" s="105"/>
      <c r="W16" s="105"/>
      <c r="X16" s="105"/>
    </row>
    <row r="17" spans="5:24" x14ac:dyDescent="0.25">
      <c r="E17" s="105"/>
      <c r="F17" s="105"/>
      <c r="G17" s="105"/>
      <c r="H17" s="105"/>
      <c r="I17" s="105"/>
      <c r="J17" s="105"/>
      <c r="K17" s="105"/>
      <c r="L17" s="105"/>
      <c r="M17" s="105"/>
      <c r="N17" s="108">
        <f>W67/100</f>
        <v>0.88919219339310951</v>
      </c>
      <c r="O17" s="105"/>
      <c r="P17" s="105"/>
      <c r="Q17" s="105"/>
      <c r="R17" s="105"/>
      <c r="S17" s="105"/>
      <c r="T17" s="105"/>
      <c r="U17" s="105"/>
      <c r="V17" s="105"/>
      <c r="W17" s="105"/>
      <c r="X17" s="105"/>
    </row>
    <row r="18" spans="5:24" x14ac:dyDescent="0.25">
      <c r="E18" s="105"/>
      <c r="F18" s="105"/>
      <c r="G18" s="105"/>
      <c r="H18" s="105"/>
      <c r="I18" s="105"/>
      <c r="J18" s="105"/>
      <c r="K18" s="109" t="s">
        <v>153</v>
      </c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</row>
    <row r="19" spans="5:24" x14ac:dyDescent="0.25">
      <c r="E19" s="105"/>
      <c r="F19" s="105"/>
      <c r="G19" s="105"/>
      <c r="H19" s="105"/>
      <c r="I19" s="105"/>
      <c r="J19" s="105"/>
      <c r="K19" s="110">
        <f>Q65/100</f>
        <v>0.79393483038092194</v>
      </c>
      <c r="L19" s="105"/>
      <c r="M19" s="105"/>
      <c r="N19" s="105"/>
      <c r="O19" s="105" t="s">
        <v>154</v>
      </c>
      <c r="P19" s="105"/>
      <c r="Q19" s="105"/>
      <c r="R19" s="105"/>
      <c r="S19" s="105"/>
      <c r="T19" s="105"/>
      <c r="U19" s="105"/>
      <c r="V19" s="105"/>
      <c r="W19" s="105"/>
      <c r="X19" s="105"/>
    </row>
    <row r="20" spans="5:24" x14ac:dyDescent="0.25"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11">
        <f>W68/100</f>
        <v>0.92496477592386783</v>
      </c>
      <c r="P20" s="105"/>
      <c r="Q20" s="105"/>
      <c r="R20" s="105"/>
      <c r="S20" s="105"/>
      <c r="T20" s="105"/>
      <c r="U20" s="105"/>
      <c r="V20" s="105"/>
      <c r="W20" s="105"/>
      <c r="X20" s="105"/>
    </row>
    <row r="21" spans="5:24" x14ac:dyDescent="0.25"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</row>
    <row r="22" spans="5:24" x14ac:dyDescent="0.25"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</row>
    <row r="23" spans="5:24" x14ac:dyDescent="0.25">
      <c r="E23" s="105"/>
      <c r="F23" s="105"/>
      <c r="G23" s="105"/>
      <c r="H23" s="105"/>
      <c r="I23" s="109" t="s">
        <v>155</v>
      </c>
      <c r="J23" s="105"/>
      <c r="K23" s="105"/>
      <c r="L23" s="105"/>
      <c r="M23" s="105" t="s">
        <v>156</v>
      </c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5:24" x14ac:dyDescent="0.25">
      <c r="E24" s="105"/>
      <c r="F24" s="105"/>
      <c r="G24" s="105"/>
      <c r="H24" s="105"/>
      <c r="I24" s="110">
        <f>Q69/100</f>
        <v>0.92603180753332248</v>
      </c>
      <c r="J24" s="105"/>
      <c r="K24" s="105"/>
      <c r="L24" s="105"/>
      <c r="M24" s="108">
        <f>W71/100</f>
        <v>0.92654827994943323</v>
      </c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</row>
    <row r="25" spans="5:24" x14ac:dyDescent="0.25"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</row>
    <row r="26" spans="5:24" x14ac:dyDescent="0.25"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</row>
    <row r="27" spans="5:24" x14ac:dyDescent="0.25"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 t="s">
        <v>157</v>
      </c>
      <c r="W27" s="105"/>
      <c r="X27" s="105"/>
    </row>
    <row r="28" spans="5:24" x14ac:dyDescent="0.25">
      <c r="E28" s="105"/>
      <c r="F28" s="105"/>
      <c r="G28" s="105"/>
      <c r="H28" s="109" t="s">
        <v>158</v>
      </c>
      <c r="I28" s="105"/>
      <c r="J28" s="109" t="s">
        <v>159</v>
      </c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8">
        <f>W70/100</f>
        <v>0.9357339931937706</v>
      </c>
      <c r="W28" s="105"/>
      <c r="X28" s="105"/>
    </row>
    <row r="29" spans="5:24" ht="14.25" x14ac:dyDescent="0.25">
      <c r="E29" s="105"/>
      <c r="F29" s="105"/>
      <c r="G29" s="105"/>
      <c r="H29" s="110">
        <f>Q64/100</f>
        <v>0.82432072708804127</v>
      </c>
      <c r="I29" s="105"/>
      <c r="J29" s="110">
        <f>Q66/100</f>
        <v>0.89034140837516818</v>
      </c>
      <c r="K29" s="105"/>
      <c r="L29" s="105"/>
      <c r="M29" s="105"/>
      <c r="N29" s="109" t="s">
        <v>160</v>
      </c>
      <c r="O29" s="105"/>
      <c r="P29" s="105"/>
      <c r="Q29" s="105"/>
      <c r="R29" s="105"/>
      <c r="S29" s="105"/>
      <c r="T29" s="105"/>
      <c r="U29" s="105"/>
      <c r="V29" s="105"/>
      <c r="W29" s="105"/>
      <c r="X29" s="105"/>
    </row>
    <row r="30" spans="5:24" x14ac:dyDescent="0.25">
      <c r="E30" s="105"/>
      <c r="F30" s="105"/>
      <c r="G30" s="105"/>
      <c r="H30" s="105"/>
      <c r="I30" s="105"/>
      <c r="J30" s="105"/>
      <c r="K30" s="105"/>
      <c r="L30" s="105"/>
      <c r="M30" s="105"/>
      <c r="N30" s="108" t="e">
        <f>K59/100</f>
        <v>#DIV/0!</v>
      </c>
      <c r="O30" s="105"/>
      <c r="P30" s="105"/>
      <c r="Q30" s="105" t="s">
        <v>161</v>
      </c>
      <c r="R30" s="105"/>
      <c r="S30" s="105"/>
      <c r="T30" s="105"/>
      <c r="U30" s="105"/>
      <c r="V30" s="105"/>
      <c r="W30" s="105"/>
      <c r="X30" s="105"/>
    </row>
    <row r="31" spans="5:24" x14ac:dyDescent="0.25"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8">
        <f>W63/100</f>
        <v>0.88244021550533258</v>
      </c>
      <c r="R31" s="105"/>
      <c r="S31" s="105"/>
      <c r="T31" s="105"/>
      <c r="U31" s="105"/>
      <c r="V31" s="105"/>
      <c r="W31" s="105"/>
      <c r="X31" s="105"/>
    </row>
    <row r="32" spans="5:24" x14ac:dyDescent="0.25">
      <c r="E32" s="105"/>
      <c r="F32" s="105"/>
      <c r="G32" s="105"/>
      <c r="H32" s="105"/>
      <c r="I32" s="105"/>
      <c r="J32" s="112" t="s">
        <v>162</v>
      </c>
      <c r="K32" s="105"/>
      <c r="L32" s="105"/>
      <c r="M32" s="105"/>
      <c r="N32" s="105"/>
      <c r="O32" s="105"/>
      <c r="P32" s="105"/>
      <c r="Q32" s="105"/>
      <c r="R32" s="113"/>
      <c r="S32" s="105"/>
      <c r="T32" s="105"/>
      <c r="U32" s="105"/>
      <c r="V32" s="105"/>
      <c r="W32" s="105"/>
      <c r="X32" s="105"/>
    </row>
    <row r="33" spans="5:24" x14ac:dyDescent="0.25">
      <c r="E33" s="105"/>
      <c r="F33" s="105"/>
      <c r="G33" s="105"/>
      <c r="H33" s="105"/>
      <c r="I33" s="105"/>
      <c r="J33" s="114">
        <f>Q68/100</f>
        <v>0.87381348179018259</v>
      </c>
      <c r="K33" s="105"/>
      <c r="L33" s="105"/>
      <c r="M33" s="105" t="s">
        <v>163</v>
      </c>
      <c r="N33" s="105"/>
      <c r="O33" s="105"/>
      <c r="P33" s="105"/>
      <c r="Q33" s="105"/>
      <c r="R33" s="105"/>
      <c r="S33" s="105" t="s">
        <v>164</v>
      </c>
      <c r="T33" s="105"/>
      <c r="U33" s="105"/>
      <c r="V33" s="105"/>
      <c r="W33" s="105"/>
      <c r="X33" s="105"/>
    </row>
    <row r="34" spans="5:24" x14ac:dyDescent="0.25">
      <c r="E34" s="105"/>
      <c r="F34" s="105"/>
      <c r="G34" s="105"/>
      <c r="H34" s="105"/>
      <c r="I34" s="105"/>
      <c r="J34" s="105"/>
      <c r="K34" s="105"/>
      <c r="L34" s="105"/>
      <c r="M34" s="108" t="e">
        <f>K62/100</f>
        <v>#DIV/0!</v>
      </c>
      <c r="N34" s="105"/>
      <c r="O34" s="105"/>
      <c r="P34" s="105"/>
      <c r="Q34" s="105"/>
      <c r="R34" s="105"/>
      <c r="S34" s="108">
        <f>W64/100</f>
        <v>0.94818229752681105</v>
      </c>
      <c r="T34" s="105"/>
      <c r="U34" s="105"/>
      <c r="V34" s="105"/>
      <c r="W34" s="105"/>
      <c r="X34" s="105"/>
    </row>
    <row r="35" spans="5:24" x14ac:dyDescent="0.25"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</row>
    <row r="36" spans="5:24" x14ac:dyDescent="0.25"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</row>
    <row r="37" spans="5:24" x14ac:dyDescent="0.25"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</row>
    <row r="38" spans="5:24" x14ac:dyDescent="0.25">
      <c r="E38" s="105"/>
      <c r="F38" s="105"/>
      <c r="G38" s="105"/>
      <c r="H38" s="105"/>
      <c r="I38" s="105"/>
      <c r="J38" s="105"/>
      <c r="K38" s="105"/>
      <c r="L38" s="109" t="s">
        <v>165</v>
      </c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</row>
    <row r="39" spans="5:24" x14ac:dyDescent="0.25">
      <c r="E39" s="105"/>
      <c r="F39" s="105"/>
      <c r="G39" s="105"/>
      <c r="H39" s="105"/>
      <c r="I39" s="105"/>
      <c r="J39" s="109" t="s">
        <v>166</v>
      </c>
      <c r="K39" s="105"/>
      <c r="L39" s="110">
        <f>K72/100</f>
        <v>0.89588936103815797</v>
      </c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</row>
    <row r="40" spans="5:24" x14ac:dyDescent="0.25">
      <c r="E40" s="105"/>
      <c r="F40" s="105"/>
      <c r="G40" s="105"/>
      <c r="H40" s="105"/>
      <c r="I40" s="105"/>
      <c r="J40" s="110">
        <f>K66/100</f>
        <v>0.82520246269001818</v>
      </c>
      <c r="K40" s="105"/>
      <c r="L40" s="105"/>
      <c r="M40" s="105"/>
      <c r="N40" s="105"/>
      <c r="O40" s="105" t="s">
        <v>167</v>
      </c>
      <c r="P40" s="105"/>
      <c r="Q40" s="105"/>
      <c r="R40" s="105"/>
      <c r="S40" s="105"/>
      <c r="T40" s="105"/>
      <c r="U40" s="105"/>
      <c r="V40" s="105"/>
      <c r="W40" s="105"/>
      <c r="X40" s="105"/>
    </row>
    <row r="41" spans="5:24" x14ac:dyDescent="0.25"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8">
        <f>K70/100</f>
        <v>0.85014480597626363</v>
      </c>
      <c r="P41" s="105"/>
      <c r="Q41" s="105"/>
      <c r="R41" s="105"/>
      <c r="S41" s="105"/>
      <c r="T41" s="105"/>
      <c r="U41" s="105"/>
      <c r="V41" s="105"/>
      <c r="W41" s="105"/>
      <c r="X41" s="105"/>
    </row>
    <row r="42" spans="5:24" x14ac:dyDescent="0.25"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</row>
    <row r="43" spans="5:24" x14ac:dyDescent="0.25"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</row>
    <row r="44" spans="5:24" x14ac:dyDescent="0.25"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 t="s">
        <v>168</v>
      </c>
      <c r="R44" s="105"/>
      <c r="S44" s="105"/>
      <c r="T44" s="105" t="s">
        <v>169</v>
      </c>
      <c r="U44" s="105"/>
      <c r="V44" s="105"/>
      <c r="W44" s="105"/>
      <c r="X44" s="105"/>
    </row>
    <row r="45" spans="5:24" x14ac:dyDescent="0.25"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8">
        <f>K63/100</f>
        <v>0.96997046490822769</v>
      </c>
      <c r="R45" s="105"/>
      <c r="S45" s="105"/>
      <c r="T45" s="108">
        <f>K65/100</f>
        <v>0.88716653661249656</v>
      </c>
      <c r="U45" s="105"/>
      <c r="V45" s="105"/>
      <c r="W45" s="105"/>
      <c r="X45" s="105"/>
    </row>
    <row r="46" spans="5:24" x14ac:dyDescent="0.25">
      <c r="E46" s="105"/>
      <c r="F46" s="105"/>
      <c r="G46" s="105"/>
      <c r="H46" s="105"/>
      <c r="I46" s="105"/>
      <c r="J46" s="105"/>
      <c r="K46" s="105"/>
      <c r="L46" s="105"/>
      <c r="M46" s="105" t="s">
        <v>170</v>
      </c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</row>
    <row r="47" spans="5:24" x14ac:dyDescent="0.25">
      <c r="E47" s="105"/>
      <c r="F47" s="105"/>
      <c r="G47" s="105"/>
      <c r="H47" s="105"/>
      <c r="I47" s="105"/>
      <c r="J47" s="105"/>
      <c r="K47" s="105"/>
      <c r="L47" s="105"/>
      <c r="M47" s="108">
        <f>K64/100</f>
        <v>0.81050453758227792</v>
      </c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</row>
    <row r="48" spans="5:24" x14ac:dyDescent="0.25"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</row>
    <row r="49" spans="5:24" x14ac:dyDescent="0.25"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</row>
    <row r="50" spans="5:24" x14ac:dyDescent="0.25"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</row>
    <row r="51" spans="5:24" x14ac:dyDescent="0.25"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</row>
    <row r="52" spans="5:24" x14ac:dyDescent="0.25">
      <c r="E52" s="105"/>
      <c r="F52" s="105"/>
      <c r="G52" s="115" t="s">
        <v>0</v>
      </c>
      <c r="H52" s="116" t="s">
        <v>171</v>
      </c>
      <c r="I52" s="117"/>
      <c r="J52" s="118"/>
      <c r="K52" s="115" t="s">
        <v>172</v>
      </c>
      <c r="L52" s="105"/>
      <c r="M52" s="105"/>
      <c r="N52" s="105"/>
      <c r="O52" s="119"/>
      <c r="P52" s="105"/>
      <c r="Q52" s="105"/>
      <c r="R52" s="105"/>
      <c r="S52" s="105"/>
      <c r="T52" s="105"/>
      <c r="U52" s="105"/>
      <c r="V52" s="105"/>
      <c r="W52" s="105"/>
      <c r="X52" s="105"/>
    </row>
    <row r="53" spans="5:24" x14ac:dyDescent="0.25">
      <c r="E53" s="105"/>
      <c r="F53" s="105"/>
      <c r="G53" s="120" t="s">
        <v>5</v>
      </c>
      <c r="H53" s="121" t="s">
        <v>32</v>
      </c>
      <c r="I53" s="122"/>
      <c r="J53" s="123"/>
      <c r="K53" s="124">
        <f>'Junio 2024'!BP4</f>
        <v>92.02664993864596</v>
      </c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</row>
    <row r="54" spans="5:24" x14ac:dyDescent="0.25">
      <c r="E54" s="105"/>
      <c r="F54" s="105"/>
      <c r="G54" s="120" t="s">
        <v>5</v>
      </c>
      <c r="H54" s="121" t="s">
        <v>6</v>
      </c>
      <c r="I54" s="122"/>
      <c r="J54" s="123"/>
      <c r="K54" s="124">
        <f>'Junio 2024'!BP5</f>
        <v>90.335573041252957</v>
      </c>
      <c r="L54" s="105"/>
      <c r="M54" s="105"/>
      <c r="N54" s="105"/>
      <c r="O54" s="105" t="s">
        <v>173</v>
      </c>
      <c r="P54" s="105"/>
      <c r="Q54" s="105"/>
      <c r="R54" s="105"/>
      <c r="S54" s="105"/>
      <c r="T54" s="105"/>
      <c r="U54" s="105"/>
      <c r="V54" s="105"/>
      <c r="W54" s="105"/>
      <c r="X54" s="105"/>
    </row>
    <row r="55" spans="5:24" x14ac:dyDescent="0.25">
      <c r="E55" s="105"/>
      <c r="F55" s="105"/>
      <c r="G55" s="120" t="s">
        <v>5</v>
      </c>
      <c r="H55" s="121" t="s">
        <v>7</v>
      </c>
      <c r="I55" s="122"/>
      <c r="J55" s="123"/>
      <c r="K55" s="124">
        <f>'Junio 2024'!BP6</f>
        <v>77.393716625375959</v>
      </c>
      <c r="L55" s="105"/>
      <c r="M55" s="105"/>
      <c r="N55" s="105"/>
      <c r="O55" s="108">
        <f>K71/100</f>
        <v>0.94477704903070858</v>
      </c>
      <c r="P55" s="105"/>
      <c r="Q55" s="105"/>
      <c r="R55" s="105"/>
      <c r="S55" s="105"/>
      <c r="T55" s="105"/>
      <c r="U55" s="105"/>
      <c r="V55" s="105"/>
      <c r="W55" s="105"/>
      <c r="X55" s="105"/>
    </row>
    <row r="56" spans="5:24" x14ac:dyDescent="0.25">
      <c r="E56" s="105"/>
      <c r="F56" s="105"/>
      <c r="G56" s="120" t="s">
        <v>5</v>
      </c>
      <c r="H56" s="121" t="s">
        <v>40</v>
      </c>
      <c r="I56" s="122"/>
      <c r="J56" s="123"/>
      <c r="K56" s="124">
        <f>'Junio 2024'!BP7</f>
        <v>96.412807661086987</v>
      </c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</row>
    <row r="57" spans="5:24" x14ac:dyDescent="0.25">
      <c r="E57" s="105"/>
      <c r="F57" s="105"/>
      <c r="G57" s="120" t="s">
        <v>5</v>
      </c>
      <c r="H57" s="121" t="s">
        <v>8</v>
      </c>
      <c r="I57" s="122"/>
      <c r="J57" s="123"/>
      <c r="K57" s="124">
        <f>'Junio 2024'!BP8</f>
        <v>82.85533696398349</v>
      </c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</row>
    <row r="58" spans="5:24" x14ac:dyDescent="0.25">
      <c r="E58" s="105"/>
      <c r="F58" s="105"/>
      <c r="G58" s="120" t="s">
        <v>5</v>
      </c>
      <c r="H58" s="121" t="s">
        <v>25</v>
      </c>
      <c r="I58" s="122"/>
      <c r="J58" s="123"/>
      <c r="K58" s="124">
        <f>'Junio 2024'!BP9</f>
        <v>86.306232954834471</v>
      </c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</row>
    <row r="59" spans="5:24" x14ac:dyDescent="0.2">
      <c r="E59" s="105"/>
      <c r="F59" s="105"/>
      <c r="G59" s="125"/>
      <c r="H59" s="202" t="s">
        <v>174</v>
      </c>
      <c r="I59" s="203"/>
      <c r="J59" s="204"/>
      <c r="K59" s="126" t="e">
        <f>'Junio 2024'!ER10</f>
        <v>#DIV/0!</v>
      </c>
      <c r="L59" s="105"/>
      <c r="M59" s="105"/>
      <c r="N59" s="105"/>
      <c r="O59" s="105"/>
      <c r="P59" s="105"/>
      <c r="Q59" s="105"/>
      <c r="R59" s="2"/>
      <c r="S59" s="105"/>
      <c r="T59" s="105"/>
      <c r="U59" s="105"/>
      <c r="V59" s="105"/>
      <c r="W59" s="105"/>
      <c r="X59" s="105"/>
    </row>
    <row r="60" spans="5:24" x14ac:dyDescent="0.2">
      <c r="E60" s="105"/>
      <c r="F60" s="105"/>
      <c r="G60" s="120" t="s">
        <v>9</v>
      </c>
      <c r="H60" s="121" t="s">
        <v>175</v>
      </c>
      <c r="I60" s="122"/>
      <c r="J60" s="123"/>
      <c r="K60" s="124">
        <f>'Junio 2024'!BP10</f>
        <v>81.248582740159108</v>
      </c>
      <c r="L60" s="105"/>
      <c r="M60" s="105"/>
      <c r="N60" s="105"/>
      <c r="O60" s="105"/>
      <c r="P60" s="105"/>
      <c r="Q60" s="105"/>
      <c r="R60" s="2"/>
      <c r="S60" s="105"/>
      <c r="T60" s="105"/>
      <c r="U60" s="105"/>
      <c r="V60" s="105"/>
      <c r="W60" s="105"/>
      <c r="X60" s="105"/>
    </row>
    <row r="61" spans="5:24" x14ac:dyDescent="0.2">
      <c r="E61" s="105"/>
      <c r="F61" s="105"/>
      <c r="G61" s="120" t="s">
        <v>9</v>
      </c>
      <c r="H61" s="121" t="s">
        <v>51</v>
      </c>
      <c r="I61" s="122"/>
      <c r="J61" s="123"/>
      <c r="K61" s="124">
        <f>'Junio 2024'!BP11</f>
        <v>92.065679706964161</v>
      </c>
      <c r="L61" s="105"/>
      <c r="M61" s="105"/>
      <c r="N61" s="105"/>
      <c r="O61" s="105"/>
      <c r="P61" s="105"/>
      <c r="Q61" s="105"/>
      <c r="R61" s="2"/>
      <c r="S61" s="105"/>
      <c r="T61" s="105"/>
      <c r="U61" s="105"/>
      <c r="V61" s="105"/>
      <c r="W61" s="105"/>
      <c r="X61" s="105"/>
    </row>
    <row r="62" spans="5:24" x14ac:dyDescent="0.2">
      <c r="E62" s="105"/>
      <c r="F62" s="105"/>
      <c r="G62" s="125"/>
      <c r="H62" s="202" t="s">
        <v>163</v>
      </c>
      <c r="I62" s="203"/>
      <c r="J62" s="204"/>
      <c r="K62" s="126" t="e">
        <f>'Junio 2024'!ER13</f>
        <v>#DIV/0!</v>
      </c>
      <c r="L62" s="105"/>
      <c r="M62" s="105"/>
      <c r="N62" s="115" t="s">
        <v>0</v>
      </c>
      <c r="O62" s="115" t="s">
        <v>171</v>
      </c>
      <c r="P62" s="115"/>
      <c r="Q62" s="115" t="s">
        <v>172</v>
      </c>
      <c r="R62" s="2"/>
      <c r="S62" s="105"/>
      <c r="T62" s="115" t="s">
        <v>0</v>
      </c>
      <c r="U62" s="115" t="s">
        <v>171</v>
      </c>
      <c r="V62" s="115"/>
      <c r="W62" s="115" t="s">
        <v>172</v>
      </c>
      <c r="X62" s="105"/>
    </row>
    <row r="63" spans="5:24" x14ac:dyDescent="0.2">
      <c r="E63" s="105"/>
      <c r="F63" s="105"/>
      <c r="G63" s="120" t="s">
        <v>10</v>
      </c>
      <c r="H63" s="121" t="s">
        <v>52</v>
      </c>
      <c r="I63" s="122"/>
      <c r="J63" s="123"/>
      <c r="K63" s="124">
        <f>'Junio 2024'!BP12</f>
        <v>96.997046490822768</v>
      </c>
      <c r="L63" s="105"/>
      <c r="M63" s="105"/>
      <c r="N63" s="120" t="s">
        <v>2</v>
      </c>
      <c r="O63" s="127" t="s">
        <v>30</v>
      </c>
      <c r="P63" s="127"/>
      <c r="Q63" s="124">
        <f>'Junio 2024'!BP22</f>
        <v>88.250698932936615</v>
      </c>
      <c r="R63" s="2"/>
      <c r="S63" s="105"/>
      <c r="T63" s="128" t="s">
        <v>4</v>
      </c>
      <c r="U63" s="200" t="s">
        <v>31</v>
      </c>
      <c r="V63" s="201"/>
      <c r="W63" s="124">
        <f>'Junio 2024'!BP30</f>
        <v>88.244021550533262</v>
      </c>
      <c r="X63" s="105"/>
    </row>
    <row r="64" spans="5:24" x14ac:dyDescent="0.2">
      <c r="E64" s="105"/>
      <c r="F64" s="105"/>
      <c r="G64" s="120" t="s">
        <v>13</v>
      </c>
      <c r="H64" s="121" t="s">
        <v>34</v>
      </c>
      <c r="I64" s="122"/>
      <c r="J64" s="123"/>
      <c r="K64" s="124">
        <f>'Junio 2024'!BP13</f>
        <v>81.050453758227789</v>
      </c>
      <c r="L64" s="105"/>
      <c r="M64" s="105"/>
      <c r="N64" s="120" t="s">
        <v>3</v>
      </c>
      <c r="O64" s="127" t="s">
        <v>53</v>
      </c>
      <c r="P64" s="127"/>
      <c r="Q64" s="124">
        <f>'Junio 2024'!BP23</f>
        <v>82.432072708804128</v>
      </c>
      <c r="R64" s="2"/>
      <c r="S64" s="105"/>
      <c r="T64" s="128" t="s">
        <v>4</v>
      </c>
      <c r="U64" s="200" t="s">
        <v>24</v>
      </c>
      <c r="V64" s="201"/>
      <c r="W64" s="124">
        <f>'Junio 2024'!BP31</f>
        <v>94.818229752681106</v>
      </c>
      <c r="X64" s="105"/>
    </row>
    <row r="65" spans="5:24" x14ac:dyDescent="0.2">
      <c r="E65" s="105"/>
      <c r="F65" s="105"/>
      <c r="G65" s="120" t="s">
        <v>14</v>
      </c>
      <c r="H65" s="121" t="s">
        <v>42</v>
      </c>
      <c r="I65" s="122"/>
      <c r="J65" s="123"/>
      <c r="K65" s="124">
        <f>'Junio 2024'!BP14</f>
        <v>88.716653661249651</v>
      </c>
      <c r="L65" s="105"/>
      <c r="M65" s="105"/>
      <c r="N65" s="120" t="s">
        <v>11</v>
      </c>
      <c r="O65" s="127" t="s">
        <v>33</v>
      </c>
      <c r="P65" s="127"/>
      <c r="Q65" s="124">
        <f>'Junio 2024'!BP24</f>
        <v>79.393483038092199</v>
      </c>
      <c r="R65" s="2"/>
      <c r="S65" s="105"/>
      <c r="T65" s="129"/>
      <c r="U65" s="202" t="s">
        <v>176</v>
      </c>
      <c r="V65" s="204"/>
      <c r="W65" s="126" t="e">
        <f>'Junio 2024'!ER32</f>
        <v>#DIV/0!</v>
      </c>
      <c r="X65" s="105"/>
    </row>
    <row r="66" spans="5:24" x14ac:dyDescent="0.2">
      <c r="E66" s="105"/>
      <c r="F66" s="105"/>
      <c r="G66" s="120" t="s">
        <v>16</v>
      </c>
      <c r="H66" s="121" t="s">
        <v>44</v>
      </c>
      <c r="I66" s="122"/>
      <c r="J66" s="123"/>
      <c r="K66" s="124">
        <f>'Junio 2024'!BP15</f>
        <v>82.520246269001817</v>
      </c>
      <c r="L66" s="105"/>
      <c r="M66" s="105"/>
      <c r="N66" s="120" t="s">
        <v>15</v>
      </c>
      <c r="O66" s="127" t="s">
        <v>43</v>
      </c>
      <c r="P66" s="127"/>
      <c r="Q66" s="124">
        <f>'Junio 2024'!BP25</f>
        <v>89.034140837516816</v>
      </c>
      <c r="R66" s="2"/>
      <c r="S66" s="105"/>
      <c r="T66" s="128" t="s">
        <v>12</v>
      </c>
      <c r="U66" s="200" t="s">
        <v>41</v>
      </c>
      <c r="V66" s="201"/>
      <c r="W66" s="124">
        <f>'Junio 2024'!BP32</f>
        <v>89.441256292221539</v>
      </c>
      <c r="X66" s="105"/>
    </row>
    <row r="67" spans="5:24" x14ac:dyDescent="0.2">
      <c r="E67" s="105"/>
      <c r="F67" s="105"/>
      <c r="G67" s="120" t="s">
        <v>177</v>
      </c>
      <c r="H67" s="121" t="s">
        <v>48</v>
      </c>
      <c r="I67" s="122"/>
      <c r="J67" s="123"/>
      <c r="K67" s="124">
        <f>'Junio 2024'!BP16</f>
        <v>89.278445004891907</v>
      </c>
      <c r="L67" s="105"/>
      <c r="M67" s="105"/>
      <c r="N67" s="120" t="s">
        <v>17</v>
      </c>
      <c r="O67" s="127" t="s">
        <v>54</v>
      </c>
      <c r="P67" s="127"/>
      <c r="Q67" s="124">
        <f>'Junio 2024'!BP26</f>
        <v>99.799786657854838</v>
      </c>
      <c r="R67" s="2"/>
      <c r="S67" s="105"/>
      <c r="T67" s="128" t="s">
        <v>178</v>
      </c>
      <c r="U67" s="200" t="s">
        <v>179</v>
      </c>
      <c r="V67" s="201"/>
      <c r="W67" s="124">
        <f>'Junio 2024'!BP33</f>
        <v>88.919219339310956</v>
      </c>
      <c r="X67" s="105"/>
    </row>
    <row r="68" spans="5:24" x14ac:dyDescent="0.25">
      <c r="E68" s="105"/>
      <c r="F68" s="105"/>
      <c r="G68" s="120" t="s">
        <v>177</v>
      </c>
      <c r="H68" s="121" t="s">
        <v>49</v>
      </c>
      <c r="I68" s="122"/>
      <c r="J68" s="123"/>
      <c r="K68" s="124">
        <f>'Junio 2024'!BP17</f>
        <v>85.164635122881691</v>
      </c>
      <c r="L68" s="105"/>
      <c r="M68" s="105"/>
      <c r="N68" s="120" t="s">
        <v>18</v>
      </c>
      <c r="O68" s="127" t="s">
        <v>26</v>
      </c>
      <c r="P68" s="127"/>
      <c r="Q68" s="124">
        <f>'Junio 2024'!BP27</f>
        <v>87.381348179018261</v>
      </c>
      <c r="R68" s="105"/>
      <c r="S68" s="105"/>
      <c r="T68" s="128" t="s">
        <v>178</v>
      </c>
      <c r="U68" s="200" t="s">
        <v>46</v>
      </c>
      <c r="V68" s="201"/>
      <c r="W68" s="124">
        <f>'Junio 2024'!BP34</f>
        <v>92.496477592386782</v>
      </c>
      <c r="X68" s="105"/>
    </row>
    <row r="69" spans="5:24" x14ac:dyDescent="0.25">
      <c r="E69" s="105"/>
      <c r="F69" s="105"/>
      <c r="G69" s="120" t="s">
        <v>177</v>
      </c>
      <c r="H69" s="121" t="s">
        <v>28</v>
      </c>
      <c r="I69" s="122"/>
      <c r="J69" s="123"/>
      <c r="K69" s="124">
        <f>'Junio 2024'!BP18</f>
        <v>80.600361665105453</v>
      </c>
      <c r="L69" s="105"/>
      <c r="M69" s="105"/>
      <c r="N69" s="120" t="s">
        <v>22</v>
      </c>
      <c r="O69" s="127" t="s">
        <v>36</v>
      </c>
      <c r="P69" s="127"/>
      <c r="Q69" s="124">
        <f>'Junio 2024'!BP28</f>
        <v>92.603180753332254</v>
      </c>
      <c r="R69" s="105"/>
      <c r="S69" s="105"/>
      <c r="T69" s="129"/>
      <c r="U69" s="202" t="s">
        <v>180</v>
      </c>
      <c r="V69" s="204"/>
      <c r="W69" s="126" t="e">
        <f>'Junio 2024'!ER35</f>
        <v>#DIV/0!</v>
      </c>
      <c r="X69" s="105"/>
    </row>
    <row r="70" spans="5:24" x14ac:dyDescent="0.2">
      <c r="E70" s="105"/>
      <c r="F70" s="105"/>
      <c r="G70" s="125"/>
      <c r="H70" s="202" t="s">
        <v>167</v>
      </c>
      <c r="I70" s="203"/>
      <c r="J70" s="204"/>
      <c r="K70" s="126">
        <f>AVERAGE(K67:K69)</f>
        <v>85.01448059762636</v>
      </c>
      <c r="L70" s="105"/>
      <c r="M70" s="105"/>
      <c r="N70" s="130"/>
      <c r="O70" s="205"/>
      <c r="P70" s="206"/>
      <c r="Q70" s="131"/>
      <c r="R70" s="105"/>
      <c r="S70" s="105"/>
      <c r="T70" s="128" t="s">
        <v>19</v>
      </c>
      <c r="U70" s="200" t="s">
        <v>47</v>
      </c>
      <c r="V70" s="201"/>
      <c r="W70" s="124">
        <f>'Junio 2024'!BP35</f>
        <v>93.57339931937706</v>
      </c>
      <c r="X70" s="105"/>
    </row>
    <row r="71" spans="5:24" x14ac:dyDescent="0.25">
      <c r="E71" s="105"/>
      <c r="F71" s="105"/>
      <c r="G71" s="120" t="s">
        <v>23</v>
      </c>
      <c r="H71" s="121" t="s">
        <v>37</v>
      </c>
      <c r="I71" s="122"/>
      <c r="J71" s="123"/>
      <c r="K71" s="124">
        <f>'Junio 2024'!BP19</f>
        <v>94.477704903070858</v>
      </c>
      <c r="L71" s="105"/>
      <c r="M71" s="105"/>
      <c r="N71" s="119"/>
      <c r="O71" s="119"/>
      <c r="P71" s="119"/>
      <c r="Q71" s="119"/>
      <c r="R71" s="105"/>
      <c r="S71" s="105"/>
      <c r="T71" s="128" t="s">
        <v>21</v>
      </c>
      <c r="U71" s="200" t="s">
        <v>35</v>
      </c>
      <c r="V71" s="201"/>
      <c r="W71" s="124">
        <f>'Junio 2024'!BP36</f>
        <v>92.654827994943318</v>
      </c>
      <c r="X71" s="105"/>
    </row>
    <row r="72" spans="5:24" x14ac:dyDescent="0.2">
      <c r="E72" s="105"/>
      <c r="F72" s="105"/>
      <c r="G72" s="120" t="s">
        <v>1</v>
      </c>
      <c r="H72" s="121" t="s">
        <v>29</v>
      </c>
      <c r="I72" s="122"/>
      <c r="J72" s="123"/>
      <c r="K72" s="124">
        <f>'Junio 2024'!BP20</f>
        <v>89.588936103815797</v>
      </c>
      <c r="L72" s="105"/>
      <c r="M72" s="105"/>
      <c r="N72" s="119"/>
      <c r="O72" s="119"/>
      <c r="P72" s="119"/>
      <c r="Q72" s="119"/>
      <c r="R72" s="105"/>
      <c r="S72" s="105"/>
      <c r="T72" s="132"/>
      <c r="U72" s="205"/>
      <c r="V72" s="206"/>
      <c r="W72" s="131"/>
      <c r="X72" s="105"/>
    </row>
    <row r="73" spans="5:24" x14ac:dyDescent="0.2">
      <c r="E73" s="105"/>
      <c r="F73" s="105"/>
      <c r="G73" s="132"/>
      <c r="H73" s="205"/>
      <c r="I73" s="207"/>
      <c r="J73" s="206"/>
      <c r="K73" s="131"/>
      <c r="L73" s="105"/>
      <c r="M73" s="105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05"/>
    </row>
  </sheetData>
  <mergeCells count="15">
    <mergeCell ref="U71:V71"/>
    <mergeCell ref="U72:V72"/>
    <mergeCell ref="H73:J73"/>
    <mergeCell ref="U67:V67"/>
    <mergeCell ref="U68:V68"/>
    <mergeCell ref="U69:V69"/>
    <mergeCell ref="H70:J70"/>
    <mergeCell ref="O70:P70"/>
    <mergeCell ref="U70:V70"/>
    <mergeCell ref="U66:V66"/>
    <mergeCell ref="H59:J59"/>
    <mergeCell ref="H62:J62"/>
    <mergeCell ref="U63:V63"/>
    <mergeCell ref="U64:V64"/>
    <mergeCell ref="U65:V65"/>
  </mergeCells>
  <pageMargins left="0.23622047244094491" right="0.23622047244094491" top="0.35433070866141736" bottom="0.39370078740157483" header="0.31496062992125984" footer="0.31496062992125984"/>
  <pageSetup paperSize="9" scale="59" orientation="landscape" r:id="rId1"/>
  <rowBreaks count="3" manualBreakCount="3">
    <brk id="73" min="4" max="23" man="1"/>
    <brk id="74" min="4" max="23" man="1"/>
    <brk id="77" min="4" max="2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ES47"/>
  <sheetViews>
    <sheetView showGridLines="0" tabSelected="1" zoomScale="80" zoomScaleNormal="80" workbookViewId="0">
      <pane xSplit="2" topLeftCell="AC1" activePane="topRight" state="frozen"/>
      <selection pane="topRight" activeCell="BP47" sqref="BP47"/>
    </sheetView>
  </sheetViews>
  <sheetFormatPr baseColWidth="10" defaultRowHeight="11.25" outlineLevelRow="2" outlineLevelCol="1" x14ac:dyDescent="0.2"/>
  <cols>
    <col min="1" max="1" width="1.7109375" style="62" customWidth="1"/>
    <col min="2" max="2" width="29.5703125" style="3" customWidth="1"/>
    <col min="3" max="3" width="10.85546875" style="3" customWidth="1"/>
    <col min="4" max="4" width="0.5703125" style="3" customWidth="1"/>
    <col min="5" max="5" width="15" style="3" customWidth="1"/>
    <col min="6" max="6" width="21.140625" style="4" customWidth="1"/>
    <col min="7" max="7" width="25.5703125" style="4" customWidth="1"/>
    <col min="8" max="8" width="10.140625" style="4" customWidth="1"/>
    <col min="9" max="9" width="9.7109375" style="4" customWidth="1"/>
    <col min="10" max="10" width="0.28515625" style="5" customWidth="1"/>
    <col min="11" max="11" width="17" style="3" customWidth="1"/>
    <col min="12" max="12" width="16.7109375" style="4" customWidth="1"/>
    <col min="13" max="13" width="16.140625" style="4" customWidth="1"/>
    <col min="14" max="14" width="10.140625" style="4" customWidth="1"/>
    <col min="15" max="15" width="9.7109375" style="4" customWidth="1"/>
    <col min="16" max="16" width="0.85546875" style="5" customWidth="1"/>
    <col min="17" max="17" width="13.28515625" style="3" customWidth="1"/>
    <col min="18" max="18" width="19.140625" style="4" customWidth="1"/>
    <col min="19" max="19" width="16" style="4" customWidth="1"/>
    <col min="20" max="20" width="14" style="4" customWidth="1"/>
    <col min="21" max="21" width="10.7109375" style="4" customWidth="1"/>
    <col min="22" max="22" width="0.42578125" style="5" customWidth="1"/>
    <col min="23" max="23" width="13" style="3" customWidth="1"/>
    <col min="24" max="24" width="13.140625" style="4" customWidth="1"/>
    <col min="25" max="25" width="15.7109375" style="4" customWidth="1"/>
    <col min="26" max="26" width="15.140625" style="4" customWidth="1"/>
    <col min="27" max="27" width="12" style="4" customWidth="1"/>
    <col min="28" max="28" width="12.7109375" style="4" customWidth="1"/>
    <col min="29" max="29" width="0.7109375" style="5" customWidth="1"/>
    <col min="30" max="30" width="13.7109375" style="3" customWidth="1"/>
    <col min="31" max="31" width="22.42578125" style="4" customWidth="1"/>
    <col min="32" max="32" width="19.140625" style="4" customWidth="1"/>
    <col min="33" max="33" width="14.42578125" style="4" customWidth="1"/>
    <col min="34" max="34" width="11.28515625" style="4" customWidth="1"/>
    <col min="35" max="35" width="0.5703125" style="5" customWidth="1"/>
    <col min="36" max="36" width="13.5703125" style="3" customWidth="1"/>
    <col min="37" max="37" width="18.7109375" style="4" customWidth="1"/>
    <col min="38" max="38" width="16.7109375" style="4" customWidth="1"/>
    <col min="39" max="39" width="15.5703125" style="4" customWidth="1"/>
    <col min="40" max="40" width="11" style="4" customWidth="1"/>
    <col min="41" max="41" width="0.85546875" style="5" customWidth="1"/>
    <col min="42" max="42" width="14.85546875" style="3" customWidth="1"/>
    <col min="43" max="43" width="25" style="4" customWidth="1"/>
    <col min="44" max="44" width="21.85546875" style="4" customWidth="1"/>
    <col min="45" max="45" width="14.7109375" style="4" customWidth="1"/>
    <col min="46" max="46" width="12.42578125" style="4" customWidth="1"/>
    <col min="47" max="47" width="0.85546875" style="5" customWidth="1"/>
    <col min="48" max="48" width="12.5703125" style="3" customWidth="1"/>
    <col min="49" max="49" width="18.42578125" style="4" customWidth="1"/>
    <col min="50" max="50" width="18.7109375" style="4" customWidth="1"/>
    <col min="51" max="51" width="17.42578125" style="4" customWidth="1"/>
    <col min="52" max="52" width="12.85546875" style="4" customWidth="1"/>
    <col min="53" max="53" width="1.140625" style="5" customWidth="1"/>
    <col min="54" max="54" width="12.5703125" style="5" customWidth="1"/>
    <col min="55" max="55" width="19.140625" style="5" customWidth="1"/>
    <col min="56" max="56" width="20.140625" style="5" customWidth="1"/>
    <col min="57" max="57" width="14.85546875" style="5" customWidth="1"/>
    <col min="58" max="58" width="14" style="5" customWidth="1"/>
    <col min="59" max="60" width="1.140625" style="5" customWidth="1"/>
    <col min="61" max="61" width="12.28515625" style="4" customWidth="1"/>
    <col min="62" max="62" width="13.42578125" style="4" customWidth="1"/>
    <col min="63" max="63" width="12.7109375" style="4" customWidth="1"/>
    <col min="64" max="64" width="14.85546875" style="4" customWidth="1"/>
    <col min="65" max="65" width="14" style="4" customWidth="1"/>
    <col min="66" max="66" width="13.28515625" style="4" hidden="1" customWidth="1"/>
    <col min="67" max="67" width="1.7109375" style="5" customWidth="1"/>
    <col min="68" max="68" width="33.42578125" style="3" customWidth="1"/>
    <col min="69" max="69" width="22.5703125" style="4" customWidth="1"/>
    <col min="70" max="70" width="3.85546875" style="3" hidden="1" customWidth="1" outlineLevel="1"/>
    <col min="71" max="71" width="4.85546875" style="3" hidden="1" customWidth="1" outlineLevel="1"/>
    <col min="72" max="91" width="11.42578125" style="3" hidden="1" customWidth="1" outlineLevel="1"/>
    <col min="92" max="92" width="11.42578125" style="3" customWidth="1" collapsed="1"/>
    <col min="93" max="148" width="0" style="3" hidden="1" customWidth="1" outlineLevel="1"/>
    <col min="149" max="149" width="11.42578125" style="3" collapsed="1"/>
    <col min="150" max="16384" width="11.42578125" style="3"/>
  </cols>
  <sheetData>
    <row r="1" spans="1:148" s="57" customFormat="1" ht="15" customHeight="1" x14ac:dyDescent="0.25">
      <c r="A1" s="63"/>
      <c r="C1" s="57">
        <v>1</v>
      </c>
      <c r="E1" s="57">
        <v>2</v>
      </c>
      <c r="F1" s="57">
        <v>3</v>
      </c>
      <c r="G1" s="57">
        <v>4</v>
      </c>
      <c r="H1" s="57">
        <v>5</v>
      </c>
      <c r="I1" s="57">
        <v>6</v>
      </c>
      <c r="J1" s="59"/>
      <c r="K1" s="57">
        <v>7</v>
      </c>
      <c r="L1" s="57">
        <v>8</v>
      </c>
      <c r="M1" s="57">
        <v>9</v>
      </c>
      <c r="N1" s="57">
        <v>10</v>
      </c>
      <c r="O1" s="57">
        <v>11</v>
      </c>
      <c r="P1" s="59"/>
      <c r="Q1" s="57">
        <v>12</v>
      </c>
      <c r="R1" s="57">
        <v>13</v>
      </c>
      <c r="S1" s="57">
        <v>14</v>
      </c>
      <c r="T1" s="57">
        <v>15</v>
      </c>
      <c r="U1" s="57">
        <v>16</v>
      </c>
      <c r="V1" s="59"/>
      <c r="W1" s="57">
        <v>17</v>
      </c>
      <c r="X1" s="57">
        <v>18</v>
      </c>
      <c r="Y1" s="57">
        <v>19</v>
      </c>
      <c r="Z1" s="57">
        <v>20</v>
      </c>
      <c r="AA1" s="57">
        <v>21</v>
      </c>
      <c r="AB1" s="57">
        <v>27</v>
      </c>
      <c r="AC1" s="59"/>
      <c r="AD1" s="57">
        <v>28</v>
      </c>
      <c r="AE1" s="57">
        <v>29</v>
      </c>
      <c r="AF1" s="57">
        <v>30</v>
      </c>
      <c r="AG1" s="57">
        <v>31</v>
      </c>
      <c r="AH1" s="57">
        <v>32</v>
      </c>
      <c r="AI1" s="59"/>
      <c r="AJ1" s="57">
        <v>33</v>
      </c>
      <c r="AK1" s="57">
        <v>34</v>
      </c>
      <c r="AL1" s="57">
        <v>35</v>
      </c>
      <c r="AM1" s="57">
        <v>36</v>
      </c>
      <c r="AN1" s="57">
        <v>37</v>
      </c>
      <c r="AO1" s="59"/>
      <c r="AP1" s="57">
        <v>38</v>
      </c>
      <c r="AQ1" s="57">
        <v>39</v>
      </c>
      <c r="AR1" s="57">
        <v>40</v>
      </c>
      <c r="AS1" s="57">
        <v>41</v>
      </c>
      <c r="AT1" s="57">
        <v>42</v>
      </c>
      <c r="AU1" s="59"/>
      <c r="AV1" s="57">
        <v>43</v>
      </c>
      <c r="AW1" s="57">
        <v>44</v>
      </c>
      <c r="AX1" s="57">
        <v>45</v>
      </c>
      <c r="AY1" s="57">
        <v>46</v>
      </c>
      <c r="AZ1" s="57">
        <v>47</v>
      </c>
      <c r="BA1" s="59"/>
      <c r="BB1" s="59">
        <v>48</v>
      </c>
      <c r="BC1" s="59">
        <v>49</v>
      </c>
      <c r="BD1" s="59">
        <v>50</v>
      </c>
      <c r="BE1" s="59">
        <v>51</v>
      </c>
      <c r="BF1" s="59">
        <v>52</v>
      </c>
      <c r="BG1" s="59"/>
      <c r="BH1" s="59"/>
      <c r="BI1" s="57">
        <v>53</v>
      </c>
      <c r="BJ1" s="57">
        <v>54</v>
      </c>
      <c r="BK1" s="57">
        <v>55</v>
      </c>
      <c r="BL1" s="57">
        <v>56</v>
      </c>
      <c r="BM1" s="57">
        <v>57</v>
      </c>
      <c r="BN1" s="57">
        <v>52</v>
      </c>
      <c r="BO1" s="59"/>
      <c r="BP1" s="57">
        <v>58</v>
      </c>
      <c r="BQ1" s="57">
        <v>59</v>
      </c>
      <c r="BR1" s="58" t="s">
        <v>27</v>
      </c>
    </row>
    <row r="2" spans="1:148" s="55" customFormat="1" ht="39" customHeight="1" x14ac:dyDescent="0.25">
      <c r="A2" s="64"/>
      <c r="B2" s="139" t="s">
        <v>310</v>
      </c>
      <c r="C2" s="79">
        <v>12.5</v>
      </c>
      <c r="D2" s="56"/>
      <c r="E2" s="74" t="s">
        <v>105</v>
      </c>
      <c r="F2" s="212" t="s">
        <v>275</v>
      </c>
      <c r="G2" s="213"/>
      <c r="H2" s="213"/>
      <c r="I2" s="214"/>
      <c r="J2" s="1"/>
      <c r="K2" s="75" t="s">
        <v>101</v>
      </c>
      <c r="L2" s="215" t="s">
        <v>274</v>
      </c>
      <c r="M2" s="218"/>
      <c r="N2" s="218"/>
      <c r="O2" s="219"/>
      <c r="P2" s="1"/>
      <c r="Q2" s="74" t="s">
        <v>106</v>
      </c>
      <c r="R2" s="224" t="s">
        <v>273</v>
      </c>
      <c r="S2" s="225"/>
      <c r="T2" s="225"/>
      <c r="U2" s="226"/>
      <c r="V2" s="1"/>
      <c r="W2" s="75" t="s">
        <v>107</v>
      </c>
      <c r="X2" s="227" t="s">
        <v>113</v>
      </c>
      <c r="Y2" s="228"/>
      <c r="Z2" s="228"/>
      <c r="AA2" s="229"/>
      <c r="AB2" s="222" t="s">
        <v>78</v>
      </c>
      <c r="AC2" s="1"/>
      <c r="AD2" s="74" t="s">
        <v>108</v>
      </c>
      <c r="AE2" s="212" t="s">
        <v>280</v>
      </c>
      <c r="AF2" s="213"/>
      <c r="AG2" s="213"/>
      <c r="AH2" s="214"/>
      <c r="AI2" s="1"/>
      <c r="AJ2" s="75" t="s">
        <v>109</v>
      </c>
      <c r="AK2" s="215" t="s">
        <v>284</v>
      </c>
      <c r="AL2" s="216"/>
      <c r="AM2" s="216"/>
      <c r="AN2" s="217"/>
      <c r="AO2" s="1"/>
      <c r="AP2" s="74" t="s">
        <v>110</v>
      </c>
      <c r="AQ2" s="212" t="s">
        <v>287</v>
      </c>
      <c r="AR2" s="213"/>
      <c r="AS2" s="213"/>
      <c r="AT2" s="214"/>
      <c r="AU2" s="1"/>
      <c r="AV2" s="75" t="s">
        <v>111</v>
      </c>
      <c r="AW2" s="215" t="s">
        <v>290</v>
      </c>
      <c r="AX2" s="218"/>
      <c r="AY2" s="218"/>
      <c r="AZ2" s="219"/>
      <c r="BA2" s="1"/>
      <c r="BB2" s="74" t="s">
        <v>112</v>
      </c>
      <c r="BC2" s="220" t="s">
        <v>294</v>
      </c>
      <c r="BD2" s="221"/>
      <c r="BE2" s="221"/>
      <c r="BF2" s="221"/>
      <c r="BG2" s="1"/>
      <c r="BH2" s="1"/>
      <c r="BI2" s="75" t="s">
        <v>264</v>
      </c>
      <c r="BJ2" s="215" t="s">
        <v>296</v>
      </c>
      <c r="BK2" s="218"/>
      <c r="BL2" s="218"/>
      <c r="BM2" s="219"/>
      <c r="BN2"/>
      <c r="BO2" s="1"/>
      <c r="BP2" s="74"/>
      <c r="BQ2" s="74"/>
      <c r="CO2" s="230" t="s">
        <v>183</v>
      </c>
      <c r="CP2" s="230"/>
      <c r="CQ2" s="230"/>
      <c r="CR2" s="230"/>
      <c r="CS2" s="230"/>
      <c r="CT2" s="230"/>
      <c r="CU2" s="230"/>
      <c r="CV2" s="230"/>
      <c r="CW2" s="230"/>
      <c r="CX2" s="230"/>
      <c r="CY2" s="230"/>
      <c r="CZ2" s="230"/>
      <c r="DA2" s="230"/>
      <c r="DB2" s="230"/>
      <c r="DC2" s="230"/>
      <c r="DD2" s="230"/>
      <c r="DE2" s="230"/>
      <c r="DF2" s="230"/>
      <c r="DG2" s="230"/>
      <c r="DH2" s="230"/>
      <c r="DI2" s="230"/>
      <c r="DJ2" s="230"/>
      <c r="DK2" s="230"/>
      <c r="DL2" s="230"/>
      <c r="DM2" s="230"/>
      <c r="DN2" s="230"/>
      <c r="DO2" s="230"/>
      <c r="DP2" s="230"/>
      <c r="DQ2" s="230"/>
      <c r="DR2" s="230"/>
      <c r="DS2" s="230"/>
      <c r="DT2" s="230"/>
      <c r="DU2" s="230"/>
      <c r="DV2" s="230"/>
      <c r="DW2" s="230"/>
      <c r="DX2" s="230"/>
      <c r="DY2" s="230"/>
      <c r="DZ2" s="230"/>
      <c r="EA2" s="230"/>
      <c r="EB2" s="230"/>
      <c r="EC2" s="230"/>
      <c r="ED2" s="230"/>
      <c r="EE2" s="230"/>
      <c r="EF2" s="230"/>
      <c r="EG2" s="230"/>
      <c r="EH2" s="230"/>
      <c r="EI2" s="230"/>
      <c r="EJ2" s="230"/>
      <c r="EK2" s="230"/>
      <c r="EL2" s="230"/>
      <c r="EM2" s="230"/>
      <c r="EN2" s="230"/>
      <c r="EO2" s="230"/>
      <c r="EP2" s="230"/>
      <c r="EQ2" s="230"/>
      <c r="ER2" s="230"/>
    </row>
    <row r="3" spans="1:148" s="47" customFormat="1" ht="83.25" customHeight="1" x14ac:dyDescent="0.25">
      <c r="A3" s="65"/>
      <c r="B3" s="80" t="s">
        <v>77</v>
      </c>
      <c r="C3" s="80" t="s">
        <v>76</v>
      </c>
      <c r="D3" s="54"/>
      <c r="E3" s="83" t="s">
        <v>201</v>
      </c>
      <c r="F3" s="73" t="s">
        <v>268</v>
      </c>
      <c r="G3" s="135" t="s">
        <v>269</v>
      </c>
      <c r="H3" s="51" t="s">
        <v>55</v>
      </c>
      <c r="I3" s="50" t="s">
        <v>75</v>
      </c>
      <c r="J3" s="52"/>
      <c r="K3" s="137" t="s">
        <v>200</v>
      </c>
      <c r="L3" s="76" t="s">
        <v>270</v>
      </c>
      <c r="M3" s="76" t="s">
        <v>311</v>
      </c>
      <c r="N3" s="77" t="s">
        <v>55</v>
      </c>
      <c r="O3" s="78" t="s">
        <v>75</v>
      </c>
      <c r="P3" s="52"/>
      <c r="Q3" s="83" t="s">
        <v>279</v>
      </c>
      <c r="R3" s="82" t="s">
        <v>271</v>
      </c>
      <c r="S3" s="82" t="s">
        <v>272</v>
      </c>
      <c r="T3" s="72" t="s">
        <v>55</v>
      </c>
      <c r="U3" s="71" t="s">
        <v>74</v>
      </c>
      <c r="V3" s="52"/>
      <c r="W3" s="86" t="s">
        <v>278</v>
      </c>
      <c r="X3" s="76" t="s">
        <v>277</v>
      </c>
      <c r="Y3" s="76" t="s">
        <v>276</v>
      </c>
      <c r="Z3" s="77" t="s">
        <v>55</v>
      </c>
      <c r="AA3" s="78" t="s">
        <v>73</v>
      </c>
      <c r="AB3" s="223"/>
      <c r="AC3" s="53"/>
      <c r="AD3" s="83" t="s">
        <v>283</v>
      </c>
      <c r="AE3" s="73" t="s">
        <v>281</v>
      </c>
      <c r="AF3" s="73" t="s">
        <v>282</v>
      </c>
      <c r="AG3" s="51" t="s">
        <v>55</v>
      </c>
      <c r="AH3" s="50" t="s">
        <v>72</v>
      </c>
      <c r="AI3" s="52"/>
      <c r="AJ3" s="86" t="s">
        <v>201</v>
      </c>
      <c r="AK3" s="76" t="s">
        <v>285</v>
      </c>
      <c r="AL3" s="76" t="s">
        <v>286</v>
      </c>
      <c r="AM3" s="77" t="s">
        <v>55</v>
      </c>
      <c r="AN3" s="78" t="s">
        <v>72</v>
      </c>
      <c r="AO3" s="52"/>
      <c r="AP3" s="83" t="s">
        <v>202</v>
      </c>
      <c r="AQ3" s="73" t="s">
        <v>288</v>
      </c>
      <c r="AR3" s="73" t="s">
        <v>289</v>
      </c>
      <c r="AS3" s="51" t="s">
        <v>55</v>
      </c>
      <c r="AT3" s="50" t="s">
        <v>72</v>
      </c>
      <c r="AU3" s="52"/>
      <c r="AV3" s="86" t="s">
        <v>114</v>
      </c>
      <c r="AW3" s="76" t="s">
        <v>292</v>
      </c>
      <c r="AX3" s="76" t="s">
        <v>291</v>
      </c>
      <c r="AY3" s="77" t="s">
        <v>55</v>
      </c>
      <c r="AZ3" s="78" t="s">
        <v>72</v>
      </c>
      <c r="BA3" s="52"/>
      <c r="BB3" s="179" t="s">
        <v>293</v>
      </c>
      <c r="BC3" s="182" t="s">
        <v>295</v>
      </c>
      <c r="BD3" s="182" t="s">
        <v>267</v>
      </c>
      <c r="BE3" s="50" t="s">
        <v>55</v>
      </c>
      <c r="BF3" s="50" t="s">
        <v>72</v>
      </c>
      <c r="BG3" s="52"/>
      <c r="BH3" s="52"/>
      <c r="BI3" s="86" t="s">
        <v>297</v>
      </c>
      <c r="BJ3" s="76" t="s">
        <v>103</v>
      </c>
      <c r="BK3" s="76" t="s">
        <v>104</v>
      </c>
      <c r="BL3" s="77" t="s">
        <v>55</v>
      </c>
      <c r="BM3" s="78" t="s">
        <v>72</v>
      </c>
      <c r="BN3" s="49" t="s">
        <v>71</v>
      </c>
      <c r="BO3" s="48"/>
      <c r="BP3" s="178" t="s">
        <v>98</v>
      </c>
      <c r="BQ3" s="178" t="s">
        <v>70</v>
      </c>
      <c r="BR3" s="61" t="s">
        <v>97</v>
      </c>
      <c r="CO3" s="231" t="s">
        <v>184</v>
      </c>
      <c r="CP3" s="231"/>
      <c r="CQ3" s="231"/>
      <c r="CR3" s="231"/>
      <c r="CS3" s="231"/>
      <c r="CT3" s="231"/>
      <c r="CU3" s="231" t="s">
        <v>185</v>
      </c>
      <c r="CV3" s="231"/>
      <c r="CW3" s="231"/>
      <c r="CX3" s="231"/>
      <c r="CY3" s="231"/>
      <c r="CZ3" s="231"/>
      <c r="DA3" s="231" t="s">
        <v>186</v>
      </c>
      <c r="DB3" s="231"/>
      <c r="DC3" s="231"/>
      <c r="DD3" s="231"/>
      <c r="DE3" s="231"/>
      <c r="DF3" s="231"/>
      <c r="DG3" s="231" t="s">
        <v>187</v>
      </c>
      <c r="DH3" s="231"/>
      <c r="DI3" s="231"/>
      <c r="DJ3" s="231"/>
      <c r="DK3" s="231"/>
      <c r="DL3" s="231"/>
      <c r="DM3" s="231"/>
      <c r="DN3" s="231" t="s">
        <v>188</v>
      </c>
      <c r="DO3" s="231"/>
      <c r="DP3" s="231"/>
      <c r="DQ3" s="231"/>
      <c r="DR3" s="231"/>
      <c r="DS3" s="231"/>
      <c r="DT3" s="231" t="s">
        <v>189</v>
      </c>
      <c r="DU3" s="231"/>
      <c r="DV3" s="231"/>
      <c r="DW3" s="231"/>
      <c r="DX3" s="231"/>
      <c r="DY3" s="231"/>
      <c r="DZ3" s="231" t="s">
        <v>190</v>
      </c>
      <c r="EA3" s="231"/>
      <c r="EB3" s="231"/>
      <c r="EC3" s="231"/>
      <c r="ED3" s="231"/>
      <c r="EE3" s="231"/>
      <c r="EF3" s="231" t="s">
        <v>191</v>
      </c>
      <c r="EG3" s="231"/>
      <c r="EH3" s="231"/>
      <c r="EI3" s="231"/>
      <c r="EJ3" s="231"/>
      <c r="EK3" s="231"/>
      <c r="EL3" s="231" t="s">
        <v>192</v>
      </c>
      <c r="EM3" s="231"/>
      <c r="EN3" s="231"/>
      <c r="EO3" s="231"/>
      <c r="EP3" s="231"/>
      <c r="EQ3" s="231"/>
    </row>
    <row r="4" spans="1:148" ht="12.75" outlineLevel="2" x14ac:dyDescent="0.2">
      <c r="A4" s="156" t="s">
        <v>79</v>
      </c>
      <c r="B4" s="46" t="s">
        <v>32</v>
      </c>
      <c r="C4" s="46" t="s">
        <v>69</v>
      </c>
      <c r="D4" s="45"/>
      <c r="E4" s="21">
        <v>0.9</v>
      </c>
      <c r="F4" s="177">
        <f>SUM('[1]117302'!$J$26:$M$26)+SUM('[1]117302'!$J$28:$M$28)+SUM('[1]117702'!$J$26:$M$26)+SUM('[1]117702'!$J$28:$M$28)+SUM('[1]117799'!$J$26:$M$26)+SUM('[1]117799'!$J$28:$M$28)+SUM('[1]117405'!$J$26:$M$26)+SUM('[1]117405'!$J$28:$M$28)</f>
        <v>9</v>
      </c>
      <c r="G4" s="177">
        <f>SUM('[2]117302'!$J$22:$M$22)+SUM('[3]117302'!$J$22:$M$22)+SUM('[4]117302'!$J$22:$M$22)+SUM('[1]117302'!$J$23:$M$23)+SUM('[2]117702'!$J$22:$M$22)+SUM('[3]117702'!$J$22:$M$22)+SUM('[4]117702'!$J$22:$M$22)+SUM('[1]117702'!$J$23:$M$23)+SUM('[2]117799'!$J$22:$M$22)+SUM('[3]117799'!$J$22:$M$22)+SUM('[4]117799'!$J$22:$M$22)+SUM('[1]117799'!$J$23:$M$23)+SUM('[2]117405'!$J$22:$M$22)+SUM('[3]117405'!$J$22:$M$22)+SUM('[4]117405'!$J$22:$M$22)+SUM('[1]117405'!$J$23:$M$23)-(SUM('[2]117302'!$J$39:$M$39)+SUM('[3]117302'!$J$39:$M$39)+SUM('[4]117302'!$J$39:$M$39)+SUM('[1]117302'!$J$40:$M$40)+SUM('[2]117702'!$J$39:$M$39)+SUM('[3]117702'!$J$39:$M$39)+SUM('[4]117702'!$J$39:$M$39)+SUM('[1]117702'!$J$40:$M$40)+SUM('[2]117799'!$J$39:$M$39)+SUM('[3]117799'!$J$39:$M$39)+SUM('[4]117799'!$J$39:$M$39)+SUM('[1]117799'!$J$40:$M$40)+SUM('[2]117405'!$J$39:$M$39)+SUM('[3]117405'!$J$39:$M$39)+SUM('[4]117405'!$J$39:$M$39)+SUM('[1]117405'!$J$40:$M$40))</f>
        <v>12</v>
      </c>
      <c r="H4" s="142">
        <f t="shared" ref="H4:H20" si="0">IF(E4="aut",100%,IF(G4=0,100%,F4/G4))</f>
        <v>0.75</v>
      </c>
      <c r="I4" s="143">
        <f t="shared" ref="I4:I20" si="1">IF(E4="aut",$C$2,IF(H4&gt;=E4,$C$2,((H4/E4)*$C$2)))</f>
        <v>10.416666666666666</v>
      </c>
      <c r="J4" s="37"/>
      <c r="K4" s="23">
        <v>0.9</v>
      </c>
      <c r="L4" s="197">
        <f>SUM('[5]117302'!$B$11:$B$18)+SUM('[5]117702'!$B$11:$B$18)+SUM('[5]117799'!$B$11:$B$18)+SUM('[5]117405'!$B$11:$B$18)</f>
        <v>7129</v>
      </c>
      <c r="M4" s="175">
        <v>7927.56</v>
      </c>
      <c r="N4" s="142">
        <f t="shared" ref="N4:N20" si="2">IF(K4="aut",100%,IF(M4=0,100%,L4/M4))</f>
        <v>0.89926787056799318</v>
      </c>
      <c r="O4" s="143">
        <f t="shared" ref="O4:O20" si="3">IF(K4="aut",$C$2,IF(N4&gt;=K4,$C$2,((N4/K4)*$C$2)))</f>
        <v>12.489831535666571</v>
      </c>
      <c r="P4" s="37"/>
      <c r="Q4" s="183">
        <v>0.41</v>
      </c>
      <c r="R4" s="140">
        <f>SUM('[1]117302'!$F$205:$Y$205)+SUM('[1]117702'!$F$205:$Y$205)+SUM('[1]117799'!$F$205:$Y$205)+SUM('[1]117405'!$F$205:$Y$205)</f>
        <v>1278</v>
      </c>
      <c r="S4" s="175">
        <v>4930</v>
      </c>
      <c r="T4" s="142">
        <f t="shared" ref="T4:T20" si="4">IF(Q4="aut",100%,IF(S4=0,100%,R4/S4))</f>
        <v>0.25922920892494927</v>
      </c>
      <c r="U4" s="143">
        <f>IF(Q4="aut",($C$2/2),IF(T4&gt;=Q4,$C$2/2,((T4/Q4)*$C$2/2)))</f>
        <v>3.9516647701973975</v>
      </c>
      <c r="V4" s="37"/>
      <c r="W4" s="183">
        <v>0.16</v>
      </c>
      <c r="X4" s="140">
        <f>SUM('[6]117302'!$S$48+'[6]117302'!$T$48)+SUM('[6]117702'!$S$48+'[6]117702'!$T$48)+SUM('[6]117799'!$S$48+'[6]117799'!$T$48)+SUM('[6]117405'!$S$48+'[6]117405'!$T$48)</f>
        <v>85</v>
      </c>
      <c r="Y4" s="175">
        <v>546</v>
      </c>
      <c r="Z4" s="142">
        <f>IF(W4="aut",100%,IF(Y4=0,100%,X4/Y4))</f>
        <v>0.15567765567765568</v>
      </c>
      <c r="AA4" s="143">
        <f t="shared" ref="AA4:AA20" si="5">IF(W4="aut",($C$2/2),IF(Z4&gt;=W4,$C$2/2,((Z4/W4)*$C$2/2)))</f>
        <v>6.0811584249084252</v>
      </c>
      <c r="AB4" s="43">
        <f>AA4+U4</f>
        <v>10.032823195105824</v>
      </c>
      <c r="AC4" s="37"/>
      <c r="AD4" s="183">
        <v>0.25174891423844303</v>
      </c>
      <c r="AE4" s="175">
        <f>'[7]117302'!$C$36+'[7]117302'!$C$37+'[7]117702'!$C$36+'[7]117702'!$C$37+'[7]117799'!$C$36+'[7]117799'!$C$37+'[7]117405'!$C$36+'[7]117405'!$C$37</f>
        <v>1366</v>
      </c>
      <c r="AF4" s="175">
        <v>5162.9549999999999</v>
      </c>
      <c r="AG4" s="142">
        <f t="shared" ref="AG4:AG36" si="6">IF(AD4="aut",100%,IF(AF4=0,100%,AE4/AF4))</f>
        <v>0.26457716559605887</v>
      </c>
      <c r="AH4" s="143">
        <f t="shared" ref="AH4:AH20" si="7">IF(AD4="aut",$C$2,IF(AG4&gt;=AD4,$C$2,((AG4/AD4)*$C$2)))</f>
        <v>12.5</v>
      </c>
      <c r="AI4" s="37"/>
      <c r="AJ4" s="183">
        <v>0.84373835001725916</v>
      </c>
      <c r="AK4" s="175">
        <f>'[7]117302'!$C$63+'[7]117302'!$C$64+'[7]117302'!$C$61+'[7]117302'!$C$62+'[7]117702'!$C$63+'[7]117702'!$C$64+'[7]117702'!$C$61+'[7]117702'!$C$62+'[7]117799'!$C$63+'[7]117799'!$C$64+'[7]117799'!$C$61+'[7]117799'!$C$62+'[7]117405'!$C$63+'[7]117405'!$C$64+'[7]117405'!$C$61+'[7]117405'!$C$62</f>
        <v>2412</v>
      </c>
      <c r="AL4" s="175">
        <f>'[7]117302'!$C$17+'[7]117702'!$C$17+'[7]117799'!$C$17+'[7]117405'!$C$17</f>
        <v>2929</v>
      </c>
      <c r="AM4" s="142">
        <f t="shared" ref="AM4:AM36" si="8">IF(AJ4="aut",100%,IF(AL4=0,100%,AK4/AL4))</f>
        <v>0.82348924547627178</v>
      </c>
      <c r="AN4" s="143">
        <f t="shared" ref="AN4:AN20" si="9">IF(AJ4="aut",$C$2,IF(AM4&gt;=AJ4,$C$2,((AM4/AJ4)*$C$2)))</f>
        <v>12.200009123969338</v>
      </c>
      <c r="AO4" s="37"/>
      <c r="AP4" s="183">
        <v>0.35387201597459539</v>
      </c>
      <c r="AQ4" s="140">
        <f>'[7]117302'!$C$35+'[7]117302'!$C$34+'[7]117702'!$C$35+'[7]117702'!$C$34+'[7]117799'!$C$35+'[7]117799'!$C$34+'[7]117405'!$C$35+'[7]117405'!$C$34</f>
        <v>3110</v>
      </c>
      <c r="AR4" s="175">
        <v>11688.147000000001</v>
      </c>
      <c r="AS4" s="142">
        <f t="shared" ref="AS4:AS36" si="10">IF(AP4="aut",100%,IF(AR4=0,100%,AQ4/AR4))</f>
        <v>0.26608152686649128</v>
      </c>
      <c r="AT4" s="143">
        <f t="shared" ref="AT4:AT20" si="11">IF(AP4="aut",$C$2,IF(AS4&gt;=AP4,$C$2,((AS4/AP4)*$C$2)))</f>
        <v>9.3989322005894849</v>
      </c>
      <c r="AU4" s="37"/>
      <c r="AV4" s="183">
        <v>0.68904593639575995</v>
      </c>
      <c r="AW4" s="140">
        <f>SUM('[1]117302'!$H$61)+SUM('[1]117702'!$H$61)+SUM('[1]117799'!$H$61)+SUM('[1]117405'!$H$61)</f>
        <v>95</v>
      </c>
      <c r="AX4" s="140">
        <f>SUM('[1]117302'!$H$67)+SUM('[1]117702'!$H$67)+SUM('[1]117799'!$H$67)+SUM('[1]117405'!$H$67)</f>
        <v>138</v>
      </c>
      <c r="AY4" s="142">
        <f t="shared" ref="AY4:AY36" si="12">IF(AV4="aut",100%,IF(AX4=0,100%,AW4/AX4))</f>
        <v>0.68840579710144922</v>
      </c>
      <c r="AZ4" s="143">
        <f t="shared" ref="AZ4:AZ20" si="13">IF(AV4="aut",$C$2,IF(AY4&gt;=AV4,$C$2,((AY4/AV4)*$C$2)))</f>
        <v>12.48838721664808</v>
      </c>
      <c r="BA4" s="37"/>
      <c r="BB4" s="23">
        <v>0.1</v>
      </c>
      <c r="BC4" s="175">
        <f>SUM('[8]117302'!$H$59:$AM$59)+SUM('[8]117302'!$C$63)+SUM('[8]117702'!$H$59:$AM$59)+SUM('[8]117702'!$C$63)+SUM('[8]117799'!$H$59:$AM$59)+SUM('[8]117799'!$C$63)+SUM('[8]117405'!$H$59:$AM$59)+SUM('[8]117405'!$C$63)</f>
        <v>807</v>
      </c>
      <c r="BD4" s="175">
        <v>6937</v>
      </c>
      <c r="BE4" s="142">
        <f>IF(BB4="aut",100%,IF(BD4=0,100%,BC4/BD4))</f>
        <v>0.11633270866368747</v>
      </c>
      <c r="BF4" s="143">
        <f>IF(BB4="aut",$C$2/2,IF(BE4&gt;=BB4,$C$2/2,0%))</f>
        <v>6.25</v>
      </c>
      <c r="BG4" s="37"/>
      <c r="BH4" s="37"/>
      <c r="BI4" s="23">
        <v>1</v>
      </c>
      <c r="BJ4" s="140"/>
      <c r="BK4" s="140"/>
      <c r="BL4" s="142">
        <f t="shared" ref="BL4:BL20" si="14">IF(BI4="aut",100%,IF(BK4=0,100%,BJ4/BK4))</f>
        <v>1</v>
      </c>
      <c r="BM4" s="143">
        <f t="shared" ref="BM4:BM20" si="15">IF(BI4="aut",$C$2/2,IF(BL4&gt;=BI4,$C$2/2,0%))</f>
        <v>6.25</v>
      </c>
      <c r="BN4" s="42"/>
      <c r="BO4" s="22"/>
      <c r="BP4" s="141">
        <f t="shared" ref="BP4:BP13" si="16">+BM4+BF4+AZ4+AT4+AN4+AH4+AB4+O4+I4</f>
        <v>92.02664993864596</v>
      </c>
      <c r="BQ4" s="41" t="str">
        <f t="shared" ref="BQ4:BQ20" si="17">IF(BP4&gt;=90,"Tramo 1: 100% C. Variable",IF(AND(BP4&gt;=75,BP4&lt;90),"Tramo 2: 50% C. Variable",IF(BP4&lt;75,"Tramo 3: Sin Asig. C. Variable")))</f>
        <v>Tramo 1: 100% C. Variable</v>
      </c>
      <c r="BR4" s="69">
        <v>90</v>
      </c>
      <c r="CO4" s="160" t="s">
        <v>32</v>
      </c>
      <c r="CP4" s="161">
        <f t="shared" ref="CP4:CT9" si="18">E4</f>
        <v>0.9</v>
      </c>
      <c r="CQ4" s="160">
        <f t="shared" si="18"/>
        <v>9</v>
      </c>
      <c r="CR4" s="160">
        <f t="shared" si="18"/>
        <v>12</v>
      </c>
      <c r="CS4" s="161">
        <f t="shared" si="18"/>
        <v>0.75</v>
      </c>
      <c r="CT4" s="162">
        <f t="shared" si="18"/>
        <v>10.416666666666666</v>
      </c>
      <c r="CU4" s="160" t="s">
        <v>32</v>
      </c>
      <c r="CV4" s="161">
        <f t="shared" ref="CV4:CZ9" si="19">K4</f>
        <v>0.9</v>
      </c>
      <c r="CW4" s="163">
        <f t="shared" si="19"/>
        <v>7129</v>
      </c>
      <c r="CX4" s="163">
        <f t="shared" si="19"/>
        <v>7927.56</v>
      </c>
      <c r="CY4" s="164">
        <f t="shared" si="19"/>
        <v>0.89926787056799318</v>
      </c>
      <c r="CZ4" s="165">
        <f t="shared" si="19"/>
        <v>12.489831535666571</v>
      </c>
      <c r="DA4" s="160" t="s">
        <v>32</v>
      </c>
      <c r="DB4" s="166">
        <f t="shared" ref="DB4:DF9" si="20">Q4</f>
        <v>0.41</v>
      </c>
      <c r="DC4" s="163">
        <f t="shared" si="20"/>
        <v>1278</v>
      </c>
      <c r="DD4" s="163">
        <f t="shared" si="20"/>
        <v>4930</v>
      </c>
      <c r="DE4" s="164">
        <f t="shared" si="20"/>
        <v>0.25922920892494927</v>
      </c>
      <c r="DF4" s="165">
        <f t="shared" si="20"/>
        <v>3.9516647701973975</v>
      </c>
      <c r="DG4" s="160" t="s">
        <v>32</v>
      </c>
      <c r="DH4" s="166">
        <f t="shared" ref="DH4:DM9" si="21">W4</f>
        <v>0.16</v>
      </c>
      <c r="DI4" s="163">
        <f t="shared" si="21"/>
        <v>85</v>
      </c>
      <c r="DJ4" s="163">
        <f t="shared" si="21"/>
        <v>546</v>
      </c>
      <c r="DK4" s="164">
        <f t="shared" si="21"/>
        <v>0.15567765567765568</v>
      </c>
      <c r="DL4" s="165">
        <f t="shared" si="21"/>
        <v>6.0811584249084252</v>
      </c>
      <c r="DM4" s="165">
        <f t="shared" si="21"/>
        <v>10.032823195105824</v>
      </c>
      <c r="DN4" s="160" t="s">
        <v>32</v>
      </c>
      <c r="DO4" s="166">
        <f t="shared" ref="DO4:DO9" si="22">AD4</f>
        <v>0.25174891423844303</v>
      </c>
      <c r="DP4" s="163">
        <f t="shared" ref="DP4:DS9" si="23">AE4</f>
        <v>1366</v>
      </c>
      <c r="DQ4" s="163">
        <f t="shared" si="23"/>
        <v>5162.9549999999999</v>
      </c>
      <c r="DR4" s="164">
        <f t="shared" si="23"/>
        <v>0.26457716559605887</v>
      </c>
      <c r="DS4" s="167">
        <f t="shared" si="23"/>
        <v>12.5</v>
      </c>
      <c r="DT4" s="160" t="s">
        <v>32</v>
      </c>
      <c r="DU4" s="168">
        <f t="shared" ref="DU4:DY9" si="24">AJ4</f>
        <v>0.84373835001725916</v>
      </c>
      <c r="DV4" s="163">
        <f t="shared" si="24"/>
        <v>2412</v>
      </c>
      <c r="DW4" s="163">
        <f t="shared" si="24"/>
        <v>2929</v>
      </c>
      <c r="DX4" s="161">
        <f t="shared" si="24"/>
        <v>0.82348924547627178</v>
      </c>
      <c r="DY4" s="162">
        <f t="shared" si="24"/>
        <v>12.200009123969338</v>
      </c>
      <c r="DZ4" s="160" t="s">
        <v>32</v>
      </c>
      <c r="EA4" s="166">
        <f t="shared" ref="EA4:EA9" si="25">AP4</f>
        <v>0.35387201597459539</v>
      </c>
      <c r="EB4" s="163">
        <f t="shared" ref="EB4:EE9" si="26">AQ4</f>
        <v>3110</v>
      </c>
      <c r="EC4" s="163">
        <f t="shared" si="26"/>
        <v>11688.147000000001</v>
      </c>
      <c r="ED4" s="161">
        <f t="shared" si="26"/>
        <v>0.26608152686649128</v>
      </c>
      <c r="EE4" s="162">
        <f t="shared" si="26"/>
        <v>9.3989322005894849</v>
      </c>
      <c r="EF4" s="160" t="s">
        <v>32</v>
      </c>
      <c r="EG4" s="166">
        <f t="shared" ref="EG4:EK9" si="27">AV4</f>
        <v>0.68904593639575995</v>
      </c>
      <c r="EH4" s="163">
        <f t="shared" si="27"/>
        <v>95</v>
      </c>
      <c r="EI4" s="163">
        <f t="shared" si="27"/>
        <v>138</v>
      </c>
      <c r="EJ4" s="164">
        <f t="shared" si="27"/>
        <v>0.68840579710144922</v>
      </c>
      <c r="EK4" s="165">
        <f t="shared" si="27"/>
        <v>12.48838721664808</v>
      </c>
      <c r="EL4" s="160" t="s">
        <v>32</v>
      </c>
      <c r="EM4" s="166">
        <f>BI4</f>
        <v>1</v>
      </c>
      <c r="EN4" s="163">
        <f>BJ4</f>
        <v>0</v>
      </c>
      <c r="EO4" s="163">
        <f t="shared" ref="EO4:EQ9" si="28">BK4</f>
        <v>0</v>
      </c>
      <c r="EP4" s="164">
        <f t="shared" si="28"/>
        <v>1</v>
      </c>
      <c r="EQ4" s="162">
        <f t="shared" si="28"/>
        <v>6.25</v>
      </c>
    </row>
    <row r="5" spans="1:148" ht="12.75" outlineLevel="2" x14ac:dyDescent="0.2">
      <c r="A5" s="156" t="s">
        <v>80</v>
      </c>
      <c r="B5" s="46" t="s">
        <v>6</v>
      </c>
      <c r="C5" s="46" t="s">
        <v>69</v>
      </c>
      <c r="D5" s="45"/>
      <c r="E5" s="21">
        <v>0.9</v>
      </c>
      <c r="F5" s="177">
        <f>(SUM('[1]117303'!$J$26:$M$26)+SUM('[1]117303'!$J$28:$M$28)+SUM('[1]117410'!$J$26:$M$26)+SUM('[1]117410'!$J$28:$M$28))</f>
        <v>10</v>
      </c>
      <c r="G5" s="177">
        <f>(SUM('[2]117303'!$J$22:$M$22)+SUM('[3]117303'!$J$22:$M$22)+SUM('[4]117303'!$J$22:$M$22)+SUM('[1]117303'!$J$23:$M$23)+SUM('[2]117410'!$J$22:$M$22)+SUM('[3]117410'!$J$22:$M$22)+SUM('[4]117410'!$J$22:$M$22)+SUM('[1]117410'!$J$23:$M$23))-((SUM('[2]117303'!$J$39:$M$39)+SUM('[3]117303'!$J$39:$M$39)+SUM('[4]117303'!$J$39:$M$39)+SUM('[1]117303'!$J$40:$M$40)+SUM('[2]117410'!$J$39:$M$39)+SUM('[3]117410'!$J$39:$M$39)+SUM('[4]117410'!$J$39:$M$39)+SUM('[1]117410'!$J$40:$M$40)))</f>
        <v>7</v>
      </c>
      <c r="H5" s="142">
        <f t="shared" si="0"/>
        <v>1.4285714285714286</v>
      </c>
      <c r="I5" s="143">
        <f t="shared" si="1"/>
        <v>12.5</v>
      </c>
      <c r="J5" s="37"/>
      <c r="K5" s="23">
        <v>0.9</v>
      </c>
      <c r="L5" s="198">
        <f>SUM('[5]117303'!$B$11:$B$18)+SUM('[5]117410'!$B$11:$B$18)</f>
        <v>3661</v>
      </c>
      <c r="M5" s="175">
        <v>4132.2</v>
      </c>
      <c r="N5" s="142">
        <f t="shared" si="2"/>
        <v>0.88596873336237358</v>
      </c>
      <c r="O5" s="143">
        <f t="shared" si="3"/>
        <v>12.305121296699632</v>
      </c>
      <c r="P5" s="37"/>
      <c r="Q5" s="183">
        <v>0.41</v>
      </c>
      <c r="R5" s="140">
        <f>SUM('[1]117303'!$F$205:$Y$205)+SUM('[1]117410'!$F$205:$Y$205)</f>
        <v>409</v>
      </c>
      <c r="S5" s="175">
        <v>2400</v>
      </c>
      <c r="T5" s="142">
        <f t="shared" si="4"/>
        <v>0.17041666666666666</v>
      </c>
      <c r="U5" s="143">
        <f t="shared" ref="U5:U36" si="29">IF(Q5="aut",($C$2/2),IF(T5&gt;=Q5,$C$2/2,((T5/Q5)*$C$2/2)))</f>
        <v>2.5978150406504064</v>
      </c>
      <c r="V5" s="37"/>
      <c r="W5" s="183">
        <v>0.16</v>
      </c>
      <c r="X5" s="140">
        <f>SUM('[6]117303'!$S$48+'[6]117303'!$T$48)+SUM('[6]117410'!$S$48+'[6]117410'!$T$48)</f>
        <v>42</v>
      </c>
      <c r="Y5" s="175">
        <v>261</v>
      </c>
      <c r="Z5" s="142">
        <f t="shared" ref="Z5:Z36" si="30">IF(W5="aut",100%,IF(Y5=0,100%,X5/Y5))</f>
        <v>0.16091954022988506</v>
      </c>
      <c r="AA5" s="143">
        <f t="shared" si="5"/>
        <v>6.25</v>
      </c>
      <c r="AB5" s="43">
        <f t="shared" ref="AB5:AB36" si="31">AA5+U5</f>
        <v>8.8478150406504064</v>
      </c>
      <c r="AC5" s="37"/>
      <c r="AD5" s="183">
        <v>0.29222347901095819</v>
      </c>
      <c r="AE5" s="175">
        <f>'[7]117303'!$C$36+'[7]117303'!$C$37+'[7]117410'!$C$36+'[7]117410'!$C$37</f>
        <v>782</v>
      </c>
      <c r="AF5" s="175">
        <v>2619.7709999999997</v>
      </c>
      <c r="AG5" s="142">
        <f t="shared" si="6"/>
        <v>0.29849937265509086</v>
      </c>
      <c r="AH5" s="143">
        <f t="shared" si="7"/>
        <v>12.5</v>
      </c>
      <c r="AI5" s="37"/>
      <c r="AJ5" s="183">
        <v>0.78724907063197014</v>
      </c>
      <c r="AK5" s="175">
        <f>'[7]117303'!$C$63+'[7]117303'!$C$64+'[7]117303'!$C$61+'[7]117303'!$C$62+'[7]117410'!$C$63+'[7]117410'!$C$64+'[7]117410'!$C$61+'[7]117410'!$C$62</f>
        <v>1104</v>
      </c>
      <c r="AL5" s="175">
        <f>'[7]117303'!$C$17+'[7]117410'!$C$17</f>
        <v>1575</v>
      </c>
      <c r="AM5" s="142">
        <f t="shared" si="8"/>
        <v>0.70095238095238099</v>
      </c>
      <c r="AN5" s="143">
        <f t="shared" si="9"/>
        <v>11.12977466568627</v>
      </c>
      <c r="AO5" s="37"/>
      <c r="AP5" s="183">
        <v>0.36775098539001916</v>
      </c>
      <c r="AQ5" s="140">
        <f>'[7]117303'!$C$35+'[7]117303'!$C$34+'[7]117410'!$C$35+'[7]117410'!$C$34</f>
        <v>1436</v>
      </c>
      <c r="AR5" s="175">
        <v>5935.5059999999994</v>
      </c>
      <c r="AS5" s="142">
        <f t="shared" si="10"/>
        <v>0.24193388061607554</v>
      </c>
      <c r="AT5" s="143">
        <f t="shared" si="11"/>
        <v>8.223427340360896</v>
      </c>
      <c r="AU5" s="37"/>
      <c r="AV5" s="183">
        <v>0.61363636363636365</v>
      </c>
      <c r="AW5" s="140">
        <f>SUM('[1]117303'!$H$61)+SUM('[1]117410'!$H$61)</f>
        <v>46</v>
      </c>
      <c r="AX5" s="140">
        <f>SUM('[1]117303'!$H$67)+SUM('[1]117410'!$H$67)</f>
        <v>76</v>
      </c>
      <c r="AY5" s="142">
        <f t="shared" si="12"/>
        <v>0.60526315789473684</v>
      </c>
      <c r="AZ5" s="143">
        <f t="shared" si="13"/>
        <v>12.329434697855749</v>
      </c>
      <c r="BA5" s="37"/>
      <c r="BB5" s="23">
        <v>0.1</v>
      </c>
      <c r="BC5" s="175">
        <f>SUM('[8]117303'!$H$59:$AM$59)+SUM('[8]117303'!$C$63)+SUM('[8]117410'!$H$59:$AM$59)+SUM('[8]117410'!$C$63)</f>
        <v>450</v>
      </c>
      <c r="BD5" s="175">
        <v>3478</v>
      </c>
      <c r="BE5" s="142">
        <f t="shared" ref="BE5:BE19" si="32">IF(BB5="aut",100%,IF(BD5=0,100%,BC5/BD5))</f>
        <v>0.12938470385278897</v>
      </c>
      <c r="BF5" s="143">
        <f t="shared" ref="BF5:BF19" si="33">IF(BB5="aut",$C$2/2,IF(BE5&gt;=BB5,$C$2/2,0%))</f>
        <v>6.25</v>
      </c>
      <c r="BG5" s="37"/>
      <c r="BH5" s="37"/>
      <c r="BI5" s="23">
        <v>1</v>
      </c>
      <c r="BJ5" s="140"/>
      <c r="BK5" s="140"/>
      <c r="BL5" s="142">
        <f t="shared" si="14"/>
        <v>1</v>
      </c>
      <c r="BM5" s="143">
        <f t="shared" si="15"/>
        <v>6.25</v>
      </c>
      <c r="BN5" s="42"/>
      <c r="BO5" s="22"/>
      <c r="BP5" s="141">
        <f t="shared" si="16"/>
        <v>90.335573041252957</v>
      </c>
      <c r="BQ5" s="41" t="str">
        <f t="shared" si="17"/>
        <v>Tramo 1: 100% C. Variable</v>
      </c>
      <c r="BR5" s="69">
        <v>90</v>
      </c>
      <c r="CO5" s="160" t="s">
        <v>6</v>
      </c>
      <c r="CP5" s="161">
        <f t="shared" si="18"/>
        <v>0.9</v>
      </c>
      <c r="CQ5" s="160">
        <f t="shared" si="18"/>
        <v>10</v>
      </c>
      <c r="CR5" s="160">
        <f t="shared" si="18"/>
        <v>7</v>
      </c>
      <c r="CS5" s="161">
        <f t="shared" si="18"/>
        <v>1.4285714285714286</v>
      </c>
      <c r="CT5" s="162">
        <f t="shared" si="18"/>
        <v>12.5</v>
      </c>
      <c r="CU5" s="160" t="s">
        <v>6</v>
      </c>
      <c r="CV5" s="161">
        <f t="shared" si="19"/>
        <v>0.9</v>
      </c>
      <c r="CW5" s="163">
        <f t="shared" si="19"/>
        <v>3661</v>
      </c>
      <c r="CX5" s="163">
        <f t="shared" si="19"/>
        <v>4132.2</v>
      </c>
      <c r="CY5" s="164">
        <f t="shared" si="19"/>
        <v>0.88596873336237358</v>
      </c>
      <c r="CZ5" s="165">
        <f t="shared" si="19"/>
        <v>12.305121296699632</v>
      </c>
      <c r="DA5" s="160" t="s">
        <v>6</v>
      </c>
      <c r="DB5" s="166">
        <f t="shared" si="20"/>
        <v>0.41</v>
      </c>
      <c r="DC5" s="163">
        <f t="shared" si="20"/>
        <v>409</v>
      </c>
      <c r="DD5" s="163">
        <f t="shared" si="20"/>
        <v>2400</v>
      </c>
      <c r="DE5" s="164">
        <f t="shared" si="20"/>
        <v>0.17041666666666666</v>
      </c>
      <c r="DF5" s="165">
        <f t="shared" si="20"/>
        <v>2.5978150406504064</v>
      </c>
      <c r="DG5" s="160" t="s">
        <v>6</v>
      </c>
      <c r="DH5" s="166">
        <f t="shared" si="21"/>
        <v>0.16</v>
      </c>
      <c r="DI5" s="163">
        <f t="shared" si="21"/>
        <v>42</v>
      </c>
      <c r="DJ5" s="163">
        <f t="shared" si="21"/>
        <v>261</v>
      </c>
      <c r="DK5" s="164">
        <f t="shared" si="21"/>
        <v>0.16091954022988506</v>
      </c>
      <c r="DL5" s="165">
        <f t="shared" si="21"/>
        <v>6.25</v>
      </c>
      <c r="DM5" s="165">
        <f t="shared" si="21"/>
        <v>8.8478150406504064</v>
      </c>
      <c r="DN5" s="160" t="s">
        <v>6</v>
      </c>
      <c r="DO5" s="166">
        <f t="shared" si="22"/>
        <v>0.29222347901095819</v>
      </c>
      <c r="DP5" s="163">
        <f t="shared" si="23"/>
        <v>782</v>
      </c>
      <c r="DQ5" s="163">
        <f t="shared" si="23"/>
        <v>2619.7709999999997</v>
      </c>
      <c r="DR5" s="164">
        <f t="shared" si="23"/>
        <v>0.29849937265509086</v>
      </c>
      <c r="DS5" s="167">
        <f t="shared" si="23"/>
        <v>12.5</v>
      </c>
      <c r="DT5" s="160" t="s">
        <v>6</v>
      </c>
      <c r="DU5" s="168">
        <f t="shared" si="24"/>
        <v>0.78724907063197014</v>
      </c>
      <c r="DV5" s="163">
        <f t="shared" si="24"/>
        <v>1104</v>
      </c>
      <c r="DW5" s="163">
        <f t="shared" si="24"/>
        <v>1575</v>
      </c>
      <c r="DX5" s="161">
        <f t="shared" si="24"/>
        <v>0.70095238095238099</v>
      </c>
      <c r="DY5" s="162">
        <f t="shared" si="24"/>
        <v>11.12977466568627</v>
      </c>
      <c r="DZ5" s="160" t="s">
        <v>6</v>
      </c>
      <c r="EA5" s="166">
        <f t="shared" si="25"/>
        <v>0.36775098539001916</v>
      </c>
      <c r="EB5" s="163">
        <f t="shared" si="26"/>
        <v>1436</v>
      </c>
      <c r="EC5" s="163">
        <f t="shared" si="26"/>
        <v>5935.5059999999994</v>
      </c>
      <c r="ED5" s="161">
        <f t="shared" si="26"/>
        <v>0.24193388061607554</v>
      </c>
      <c r="EE5" s="162">
        <f t="shared" si="26"/>
        <v>8.223427340360896</v>
      </c>
      <c r="EF5" s="160" t="s">
        <v>6</v>
      </c>
      <c r="EG5" s="166">
        <f t="shared" si="27"/>
        <v>0.61363636363636365</v>
      </c>
      <c r="EH5" s="163">
        <f t="shared" si="27"/>
        <v>46</v>
      </c>
      <c r="EI5" s="163">
        <f t="shared" si="27"/>
        <v>76</v>
      </c>
      <c r="EJ5" s="164">
        <f t="shared" si="27"/>
        <v>0.60526315789473684</v>
      </c>
      <c r="EK5" s="165">
        <f t="shared" si="27"/>
        <v>12.329434697855749</v>
      </c>
      <c r="EL5" s="160" t="s">
        <v>6</v>
      </c>
      <c r="EM5" s="166">
        <f t="shared" ref="EM5:EN9" si="34">BI5</f>
        <v>1</v>
      </c>
      <c r="EN5" s="163">
        <f t="shared" si="34"/>
        <v>0</v>
      </c>
      <c r="EO5" s="163">
        <f t="shared" si="28"/>
        <v>0</v>
      </c>
      <c r="EP5" s="164">
        <f t="shared" si="28"/>
        <v>1</v>
      </c>
      <c r="EQ5" s="162">
        <f t="shared" si="28"/>
        <v>6.25</v>
      </c>
    </row>
    <row r="6" spans="1:148" ht="12.75" outlineLevel="2" x14ac:dyDescent="0.2">
      <c r="A6" s="156" t="s">
        <v>81</v>
      </c>
      <c r="B6" s="46" t="s">
        <v>7</v>
      </c>
      <c r="C6" s="46" t="s">
        <v>69</v>
      </c>
      <c r="D6" s="45"/>
      <c r="E6" s="21">
        <v>0.9</v>
      </c>
      <c r="F6" s="177">
        <f>SUM('[1]117304'!$J$26:$M$26)+SUM('[1]117304'!$J$28:$M$28)+SUM('[1]200261'!$J$26:$M$26)+SUM('[1]200261'!$J$28:$M$28)</f>
        <v>4</v>
      </c>
      <c r="G6" s="177">
        <f>SUM('[2]117304'!$J$22:$M$22)+SUM('[3]117304'!$J$22:$M$22)+SUM('[4]117304'!$J$22:$M$22)+SUM('[1]117304'!$J$23:$M$23)+SUM('[2]200261'!$J$22:$M$22)+SUM('[3]200261'!$J$22:$M$22)+SUM('[4]200261'!$J$22:$M$22)+SUM('[1]200261'!$J$23:$M$23)-(SUM('[2]117304'!$J$39:$M$39)+SUM('[3]117304'!$J$39:$M$39)+SUM('[4]117304'!$J$39:$M$39)+SUM('[1]117304'!$J$40:$M$40)+SUM('[2]200261'!$J$39:$M$39)+SUM('[3]200261'!$J$39:$M$39)+SUM('[4]200261'!$J$39:$M$39)+SUM('[1]200261'!$J$40:$M$40))</f>
        <v>8</v>
      </c>
      <c r="H6" s="142">
        <f t="shared" si="0"/>
        <v>0.5</v>
      </c>
      <c r="I6" s="143">
        <f t="shared" si="1"/>
        <v>6.9444444444444446</v>
      </c>
      <c r="J6" s="37"/>
      <c r="K6" s="23">
        <v>0.9</v>
      </c>
      <c r="L6" s="198">
        <f t="array" ref="L6">SUM('[5]117304'!$B$11:$B$18+'[5]200261'!$B$11:$B$18)</f>
        <v>3727</v>
      </c>
      <c r="M6" s="175">
        <v>4200.4400000000005</v>
      </c>
      <c r="N6" s="142">
        <f t="shared" si="2"/>
        <v>0.88728799840016748</v>
      </c>
      <c r="O6" s="143">
        <f t="shared" si="3"/>
        <v>12.323444422224549</v>
      </c>
      <c r="P6" s="37"/>
      <c r="Q6" s="183">
        <v>0.41</v>
      </c>
      <c r="R6" s="140">
        <f>SUM('[1]117304'!$F$205:$Y$205)+SUM('[1]200261'!$F$205:$Y$205)</f>
        <v>392</v>
      </c>
      <c r="S6" s="175">
        <v>2179</v>
      </c>
      <c r="T6" s="142">
        <f t="shared" si="4"/>
        <v>0.17989903625516293</v>
      </c>
      <c r="U6" s="143">
        <f t="shared" si="29"/>
        <v>2.7423633575482156</v>
      </c>
      <c r="V6" s="37"/>
      <c r="W6" s="183">
        <v>0.16</v>
      </c>
      <c r="X6" s="140">
        <f>SUM('[6]117304'!$S$48+'[6]117304'!$T$48)+SUM('[6]200261'!$S$48+'[6]200261'!$T$48)</f>
        <v>37</v>
      </c>
      <c r="Y6" s="175">
        <v>245</v>
      </c>
      <c r="Z6" s="142">
        <f t="shared" si="30"/>
        <v>0.15102040816326531</v>
      </c>
      <c r="AA6" s="143">
        <f t="shared" si="5"/>
        <v>5.8992346938775508</v>
      </c>
      <c r="AB6" s="43">
        <f t="shared" si="31"/>
        <v>8.6415980514257669</v>
      </c>
      <c r="AC6" s="37"/>
      <c r="AD6" s="183">
        <v>0.28084576903361347</v>
      </c>
      <c r="AE6" s="175">
        <f>'[7]117304'!$C$37+'[7]117304'!$C$36+'[7]200261'!$C$37+'[7]200261'!$C$36</f>
        <v>676</v>
      </c>
      <c r="AF6" s="175">
        <v>2760.3869999999997</v>
      </c>
      <c r="AG6" s="142">
        <f t="shared" si="6"/>
        <v>0.24489319794651984</v>
      </c>
      <c r="AH6" s="143">
        <f t="shared" si="7"/>
        <v>10.89980805074944</v>
      </c>
      <c r="AI6" s="37"/>
      <c r="AJ6" s="183">
        <v>0.75224196277495781</v>
      </c>
      <c r="AK6" s="175">
        <f>'[7]117304'!$C$63+'[7]117304'!$C$64+'[7]117304'!$C$61+'[7]117304'!$C$62+'[7]200261'!$C$63+'[7]200261'!$C$64+'[7]200261'!$C$61+'[7]200261'!$C$62</f>
        <v>1252</v>
      </c>
      <c r="AL6" s="175">
        <f>'[7]117304'!$C$17+'[7]200261'!$C$17</f>
        <v>1881</v>
      </c>
      <c r="AM6" s="142">
        <f t="shared" si="8"/>
        <v>0.66560340244550775</v>
      </c>
      <c r="AN6" s="143">
        <f t="shared" si="9"/>
        <v>11.060327583796182</v>
      </c>
      <c r="AO6" s="37"/>
      <c r="AP6" s="183">
        <v>0.40768240660818061</v>
      </c>
      <c r="AQ6" s="140">
        <f>'[7]117304'!$C$35+'[7]117304'!$C$34+'[7]200261'!$C$35+'[7]200261'!$C$34</f>
        <v>1940</v>
      </c>
      <c r="AR6" s="175">
        <v>6274.7060000000001</v>
      </c>
      <c r="AS6" s="142">
        <f t="shared" si="10"/>
        <v>0.30917783239565327</v>
      </c>
      <c r="AT6" s="143">
        <f t="shared" si="11"/>
        <v>9.4797392340258906</v>
      </c>
      <c r="AU6" s="37"/>
      <c r="AV6" s="183">
        <v>0.66666666666666663</v>
      </c>
      <c r="AW6" s="140">
        <f>SUM('[1]117304'!$H$61)+SUM('[1]200261'!$H$61)</f>
        <v>39</v>
      </c>
      <c r="AX6" s="140">
        <f>SUM('[1]117304'!$H$67)+SUM('[1]200261'!$H$67)</f>
        <v>62</v>
      </c>
      <c r="AY6" s="142">
        <f t="shared" si="12"/>
        <v>0.62903225806451613</v>
      </c>
      <c r="AZ6" s="143">
        <f t="shared" si="13"/>
        <v>11.794354838709678</v>
      </c>
      <c r="BA6" s="37"/>
      <c r="BB6" s="23">
        <v>0.1</v>
      </c>
      <c r="BC6" s="175">
        <f>SUM('[8]117304'!$H$59:$AM$59)+SUM('[8]117304'!$C$63)+SUM('[8]200261'!$H$59:$AM$59)+SUM('[8]200261'!$C$63)</f>
        <v>330</v>
      </c>
      <c r="BD6" s="175">
        <v>3548</v>
      </c>
      <c r="BE6" s="142">
        <f t="shared" si="32"/>
        <v>9.3010146561443061E-2</v>
      </c>
      <c r="BF6" s="143">
        <f t="shared" si="33"/>
        <v>0</v>
      </c>
      <c r="BG6" s="37"/>
      <c r="BH6" s="37"/>
      <c r="BI6" s="23">
        <v>1</v>
      </c>
      <c r="BJ6" s="140"/>
      <c r="BK6" s="140"/>
      <c r="BL6" s="142">
        <f t="shared" si="14"/>
        <v>1</v>
      </c>
      <c r="BM6" s="143">
        <f t="shared" si="15"/>
        <v>6.25</v>
      </c>
      <c r="BN6" s="42"/>
      <c r="BO6" s="22"/>
      <c r="BP6" s="141">
        <f t="shared" si="16"/>
        <v>77.393716625375959</v>
      </c>
      <c r="BQ6" s="41" t="str">
        <f t="shared" si="17"/>
        <v>Tramo 2: 50% C. Variable</v>
      </c>
      <c r="BR6" s="69">
        <v>90</v>
      </c>
      <c r="CO6" s="160" t="s">
        <v>7</v>
      </c>
      <c r="CP6" s="161">
        <f t="shared" si="18"/>
        <v>0.9</v>
      </c>
      <c r="CQ6" s="160">
        <f t="shared" si="18"/>
        <v>4</v>
      </c>
      <c r="CR6" s="160">
        <f t="shared" si="18"/>
        <v>8</v>
      </c>
      <c r="CS6" s="161">
        <f t="shared" si="18"/>
        <v>0.5</v>
      </c>
      <c r="CT6" s="162">
        <f t="shared" si="18"/>
        <v>6.9444444444444446</v>
      </c>
      <c r="CU6" s="160" t="s">
        <v>7</v>
      </c>
      <c r="CV6" s="161">
        <f t="shared" si="19"/>
        <v>0.9</v>
      </c>
      <c r="CW6" s="163">
        <f t="shared" si="19"/>
        <v>3727</v>
      </c>
      <c r="CX6" s="163">
        <f t="shared" si="19"/>
        <v>4200.4400000000005</v>
      </c>
      <c r="CY6" s="164">
        <f t="shared" si="19"/>
        <v>0.88728799840016748</v>
      </c>
      <c r="CZ6" s="165">
        <f t="shared" si="19"/>
        <v>12.323444422224549</v>
      </c>
      <c r="DA6" s="160" t="s">
        <v>7</v>
      </c>
      <c r="DB6" s="166">
        <f t="shared" si="20"/>
        <v>0.41</v>
      </c>
      <c r="DC6" s="163">
        <f t="shared" si="20"/>
        <v>392</v>
      </c>
      <c r="DD6" s="163">
        <f t="shared" si="20"/>
        <v>2179</v>
      </c>
      <c r="DE6" s="164">
        <f t="shared" si="20"/>
        <v>0.17989903625516293</v>
      </c>
      <c r="DF6" s="165">
        <f t="shared" si="20"/>
        <v>2.7423633575482156</v>
      </c>
      <c r="DG6" s="160" t="s">
        <v>7</v>
      </c>
      <c r="DH6" s="166">
        <f t="shared" si="21"/>
        <v>0.16</v>
      </c>
      <c r="DI6" s="163">
        <f t="shared" si="21"/>
        <v>37</v>
      </c>
      <c r="DJ6" s="163">
        <f t="shared" si="21"/>
        <v>245</v>
      </c>
      <c r="DK6" s="164">
        <f t="shared" si="21"/>
        <v>0.15102040816326531</v>
      </c>
      <c r="DL6" s="165">
        <f t="shared" si="21"/>
        <v>5.8992346938775508</v>
      </c>
      <c r="DM6" s="165">
        <f t="shared" si="21"/>
        <v>8.6415980514257669</v>
      </c>
      <c r="DN6" s="160" t="s">
        <v>7</v>
      </c>
      <c r="DO6" s="166">
        <f t="shared" si="22"/>
        <v>0.28084576903361347</v>
      </c>
      <c r="DP6" s="163">
        <f t="shared" si="23"/>
        <v>676</v>
      </c>
      <c r="DQ6" s="163">
        <f t="shared" si="23"/>
        <v>2760.3869999999997</v>
      </c>
      <c r="DR6" s="164">
        <f t="shared" si="23"/>
        <v>0.24489319794651984</v>
      </c>
      <c r="DS6" s="167">
        <f t="shared" si="23"/>
        <v>10.89980805074944</v>
      </c>
      <c r="DT6" s="160" t="s">
        <v>7</v>
      </c>
      <c r="DU6" s="168">
        <f t="shared" si="24"/>
        <v>0.75224196277495781</v>
      </c>
      <c r="DV6" s="163">
        <f t="shared" si="24"/>
        <v>1252</v>
      </c>
      <c r="DW6" s="163">
        <f t="shared" si="24"/>
        <v>1881</v>
      </c>
      <c r="DX6" s="161">
        <f t="shared" si="24"/>
        <v>0.66560340244550775</v>
      </c>
      <c r="DY6" s="162">
        <f t="shared" si="24"/>
        <v>11.060327583796182</v>
      </c>
      <c r="DZ6" s="160" t="s">
        <v>7</v>
      </c>
      <c r="EA6" s="166">
        <f t="shared" si="25"/>
        <v>0.40768240660818061</v>
      </c>
      <c r="EB6" s="163">
        <f t="shared" si="26"/>
        <v>1940</v>
      </c>
      <c r="EC6" s="163">
        <f t="shared" si="26"/>
        <v>6274.7060000000001</v>
      </c>
      <c r="ED6" s="161">
        <f t="shared" si="26"/>
        <v>0.30917783239565327</v>
      </c>
      <c r="EE6" s="162">
        <f t="shared" si="26"/>
        <v>9.4797392340258906</v>
      </c>
      <c r="EF6" s="160" t="s">
        <v>7</v>
      </c>
      <c r="EG6" s="166">
        <f t="shared" si="27"/>
        <v>0.66666666666666663</v>
      </c>
      <c r="EH6" s="163">
        <f t="shared" si="27"/>
        <v>39</v>
      </c>
      <c r="EI6" s="163">
        <f t="shared" si="27"/>
        <v>62</v>
      </c>
      <c r="EJ6" s="164">
        <f t="shared" si="27"/>
        <v>0.62903225806451613</v>
      </c>
      <c r="EK6" s="165">
        <f t="shared" si="27"/>
        <v>11.794354838709678</v>
      </c>
      <c r="EL6" s="160" t="s">
        <v>7</v>
      </c>
      <c r="EM6" s="166">
        <f t="shared" si="34"/>
        <v>1</v>
      </c>
      <c r="EN6" s="163">
        <f t="shared" si="34"/>
        <v>0</v>
      </c>
      <c r="EO6" s="163">
        <f t="shared" si="28"/>
        <v>0</v>
      </c>
      <c r="EP6" s="164">
        <f t="shared" si="28"/>
        <v>1</v>
      </c>
      <c r="EQ6" s="162">
        <f t="shared" si="28"/>
        <v>6.25</v>
      </c>
    </row>
    <row r="7" spans="1:148" ht="12.75" outlineLevel="2" x14ac:dyDescent="0.2">
      <c r="A7" s="156" t="s">
        <v>82</v>
      </c>
      <c r="B7" s="46" t="s">
        <v>40</v>
      </c>
      <c r="C7" s="46" t="s">
        <v>69</v>
      </c>
      <c r="D7" s="45"/>
      <c r="E7" s="21">
        <v>0.9</v>
      </c>
      <c r="F7" s="177">
        <f>SUM('[1]117322'!$J$26:$M$26)+SUM('[1]117322'!$J$28:$M$28)</f>
        <v>2</v>
      </c>
      <c r="G7" s="177">
        <f>SUM('[2]117322'!$J$22:$M$22)+SUM('[3]117322'!$J$22:$M$22)+SUM('[4]117322'!$J$22:$M$22)+SUM('[1]117322'!$J$23:$M$23)-(SUM('[2]117322'!$J$39:$M$39)+SUM('[3]117322'!$J$39:$M$39)+SUM('[4]117322'!$J$39:$M$39)+SUM('[1]117322'!$J$40:$M$40))</f>
        <v>3</v>
      </c>
      <c r="H7" s="142">
        <f>IF(E7="aut",100%,IF(G7=0,100%,F7/G7))</f>
        <v>0.66666666666666663</v>
      </c>
      <c r="I7" s="143">
        <f t="shared" si="1"/>
        <v>9.2592592592592595</v>
      </c>
      <c r="J7" s="37"/>
      <c r="K7" s="23">
        <v>0.9</v>
      </c>
      <c r="L7" s="198">
        <f>SUM('[5]117322'!$B$11:$B$18)</f>
        <v>662</v>
      </c>
      <c r="M7" s="175">
        <v>678.02</v>
      </c>
      <c r="N7" s="142">
        <f t="shared" si="2"/>
        <v>0.97637237839591751</v>
      </c>
      <c r="O7" s="143">
        <f t="shared" si="3"/>
        <v>12.5</v>
      </c>
      <c r="P7" s="37"/>
      <c r="Q7" s="183">
        <v>0.41</v>
      </c>
      <c r="R7" s="140">
        <f>SUM('[1]117322'!$F$205:$Y$205)</f>
        <v>172</v>
      </c>
      <c r="S7" s="175">
        <v>314</v>
      </c>
      <c r="T7" s="142">
        <f t="shared" si="4"/>
        <v>0.54777070063694266</v>
      </c>
      <c r="U7" s="143">
        <f t="shared" si="29"/>
        <v>6.25</v>
      </c>
      <c r="V7" s="37"/>
      <c r="W7" s="183">
        <v>0.16</v>
      </c>
      <c r="X7" s="140">
        <f>SUM('[6]117322'!$S$48+'[6]117322'!$T$48)</f>
        <v>6</v>
      </c>
      <c r="Y7" s="175">
        <v>35</v>
      </c>
      <c r="Z7" s="142">
        <f t="shared" si="30"/>
        <v>0.17142857142857143</v>
      </c>
      <c r="AA7" s="143">
        <f t="shared" si="5"/>
        <v>6.25</v>
      </c>
      <c r="AB7" s="43">
        <f t="shared" si="31"/>
        <v>12.5</v>
      </c>
      <c r="AC7" s="37"/>
      <c r="AD7" s="183">
        <v>0.39591710485617077</v>
      </c>
      <c r="AE7" s="175">
        <f>'[7]117322'!$C$36+'[7]117322'!$C$37</f>
        <v>222</v>
      </c>
      <c r="AF7" s="175">
        <v>513.726</v>
      </c>
      <c r="AG7" s="142">
        <f>IF(AD7="aut",100%,IF(AF7=0,100%,AE7/AF7))</f>
        <v>0.43213697574193249</v>
      </c>
      <c r="AH7" s="143">
        <f t="shared" si="7"/>
        <v>12.5</v>
      </c>
      <c r="AI7" s="37"/>
      <c r="AJ7" s="183">
        <v>0.88103448275862073</v>
      </c>
      <c r="AK7" s="175">
        <f>'[7]117322'!$C$63+'[7]117322'!$C$64+'[7]117322'!$C$61+'[7]117322'!$C$62</f>
        <v>406</v>
      </c>
      <c r="AL7" s="175">
        <f>'[7]117322'!$C$17</f>
        <v>404</v>
      </c>
      <c r="AM7" s="142">
        <f t="shared" si="8"/>
        <v>1.004950495049505</v>
      </c>
      <c r="AN7" s="143">
        <f t="shared" si="9"/>
        <v>12.5</v>
      </c>
      <c r="AO7" s="37"/>
      <c r="AP7" s="183">
        <v>0.40419293096136244</v>
      </c>
      <c r="AQ7" s="140">
        <f>'[7]117322'!$C$35+'[7]117322'!$C$34</f>
        <v>466</v>
      </c>
      <c r="AR7" s="175">
        <v>1185.7800000000002</v>
      </c>
      <c r="AS7" s="142">
        <f t="shared" si="10"/>
        <v>0.3929902680092428</v>
      </c>
      <c r="AT7" s="143">
        <f t="shared" si="11"/>
        <v>12.153548401827736</v>
      </c>
      <c r="AU7" s="37"/>
      <c r="AV7" s="183">
        <v>0.7</v>
      </c>
      <c r="AW7" s="140">
        <f>SUM('[1]117322'!$H$61)</f>
        <v>7</v>
      </c>
      <c r="AX7" s="140">
        <f>SUM('[1]117322'!$H$67)</f>
        <v>8</v>
      </c>
      <c r="AY7" s="142">
        <f t="shared" si="12"/>
        <v>0.875</v>
      </c>
      <c r="AZ7" s="143">
        <f t="shared" si="13"/>
        <v>12.5</v>
      </c>
      <c r="BA7" s="37"/>
      <c r="BB7" s="23">
        <v>0.1</v>
      </c>
      <c r="BC7" s="175">
        <f>SUM('[8]117322'!$H$59:$AM$59)+SUM('[8]117322'!$C$63)</f>
        <v>77</v>
      </c>
      <c r="BD7" s="175">
        <v>613</v>
      </c>
      <c r="BE7" s="142">
        <f t="shared" si="32"/>
        <v>0.12561174551386622</v>
      </c>
      <c r="BF7" s="143">
        <f t="shared" si="33"/>
        <v>6.25</v>
      </c>
      <c r="BG7" s="37"/>
      <c r="BH7" s="37"/>
      <c r="BI7" s="23">
        <v>1</v>
      </c>
      <c r="BJ7" s="140"/>
      <c r="BK7" s="140"/>
      <c r="BL7" s="142">
        <f t="shared" si="14"/>
        <v>1</v>
      </c>
      <c r="BM7" s="143">
        <f t="shared" si="15"/>
        <v>6.25</v>
      </c>
      <c r="BN7" s="42"/>
      <c r="BO7" s="22"/>
      <c r="BP7" s="141">
        <f t="shared" si="16"/>
        <v>96.412807661086987</v>
      </c>
      <c r="BQ7" s="41" t="str">
        <f t="shared" si="17"/>
        <v>Tramo 1: 100% C. Variable</v>
      </c>
      <c r="BR7" s="69">
        <v>90</v>
      </c>
      <c r="CO7" s="160" t="s">
        <v>40</v>
      </c>
      <c r="CP7" s="161">
        <f t="shared" si="18"/>
        <v>0.9</v>
      </c>
      <c r="CQ7" s="160">
        <f t="shared" si="18"/>
        <v>2</v>
      </c>
      <c r="CR7" s="160">
        <f t="shared" si="18"/>
        <v>3</v>
      </c>
      <c r="CS7" s="161">
        <f t="shared" si="18"/>
        <v>0.66666666666666663</v>
      </c>
      <c r="CT7" s="162">
        <f t="shared" si="18"/>
        <v>9.2592592592592595</v>
      </c>
      <c r="CU7" s="160" t="s">
        <v>40</v>
      </c>
      <c r="CV7" s="161">
        <f t="shared" si="19"/>
        <v>0.9</v>
      </c>
      <c r="CW7" s="163">
        <f t="shared" si="19"/>
        <v>662</v>
      </c>
      <c r="CX7" s="163">
        <f t="shared" si="19"/>
        <v>678.02</v>
      </c>
      <c r="CY7" s="164">
        <f t="shared" si="19"/>
        <v>0.97637237839591751</v>
      </c>
      <c r="CZ7" s="165">
        <f t="shared" si="19"/>
        <v>12.5</v>
      </c>
      <c r="DA7" s="160" t="s">
        <v>40</v>
      </c>
      <c r="DB7" s="166">
        <f t="shared" si="20"/>
        <v>0.41</v>
      </c>
      <c r="DC7" s="163">
        <f t="shared" si="20"/>
        <v>172</v>
      </c>
      <c r="DD7" s="163">
        <f t="shared" si="20"/>
        <v>314</v>
      </c>
      <c r="DE7" s="164">
        <f t="shared" si="20"/>
        <v>0.54777070063694266</v>
      </c>
      <c r="DF7" s="165">
        <f t="shared" si="20"/>
        <v>6.25</v>
      </c>
      <c r="DG7" s="160" t="s">
        <v>40</v>
      </c>
      <c r="DH7" s="166">
        <f t="shared" si="21"/>
        <v>0.16</v>
      </c>
      <c r="DI7" s="163">
        <f t="shared" si="21"/>
        <v>6</v>
      </c>
      <c r="DJ7" s="163">
        <f t="shared" si="21"/>
        <v>35</v>
      </c>
      <c r="DK7" s="164">
        <f t="shared" si="21"/>
        <v>0.17142857142857143</v>
      </c>
      <c r="DL7" s="165">
        <f t="shared" si="21"/>
        <v>6.25</v>
      </c>
      <c r="DM7" s="165">
        <f t="shared" si="21"/>
        <v>12.5</v>
      </c>
      <c r="DN7" s="160" t="s">
        <v>40</v>
      </c>
      <c r="DO7" s="166">
        <f t="shared" si="22"/>
        <v>0.39591710485617077</v>
      </c>
      <c r="DP7" s="163">
        <f t="shared" si="23"/>
        <v>222</v>
      </c>
      <c r="DQ7" s="163">
        <f t="shared" si="23"/>
        <v>513.726</v>
      </c>
      <c r="DR7" s="164">
        <f t="shared" si="23"/>
        <v>0.43213697574193249</v>
      </c>
      <c r="DS7" s="167">
        <f t="shared" si="23"/>
        <v>12.5</v>
      </c>
      <c r="DT7" s="160" t="s">
        <v>40</v>
      </c>
      <c r="DU7" s="168">
        <f t="shared" si="24"/>
        <v>0.88103448275862073</v>
      </c>
      <c r="DV7" s="163">
        <f t="shared" si="24"/>
        <v>406</v>
      </c>
      <c r="DW7" s="163">
        <f t="shared" si="24"/>
        <v>404</v>
      </c>
      <c r="DX7" s="161">
        <f t="shared" si="24"/>
        <v>1.004950495049505</v>
      </c>
      <c r="DY7" s="162">
        <f t="shared" si="24"/>
        <v>12.5</v>
      </c>
      <c r="DZ7" s="160" t="s">
        <v>40</v>
      </c>
      <c r="EA7" s="166">
        <f t="shared" si="25"/>
        <v>0.40419293096136244</v>
      </c>
      <c r="EB7" s="163">
        <f t="shared" si="26"/>
        <v>466</v>
      </c>
      <c r="EC7" s="163">
        <f t="shared" si="26"/>
        <v>1185.7800000000002</v>
      </c>
      <c r="ED7" s="161">
        <f t="shared" si="26"/>
        <v>0.3929902680092428</v>
      </c>
      <c r="EE7" s="162">
        <f t="shared" si="26"/>
        <v>12.153548401827736</v>
      </c>
      <c r="EF7" s="160" t="s">
        <v>40</v>
      </c>
      <c r="EG7" s="166">
        <f t="shared" si="27"/>
        <v>0.7</v>
      </c>
      <c r="EH7" s="163">
        <f t="shared" si="27"/>
        <v>7</v>
      </c>
      <c r="EI7" s="163">
        <f t="shared" si="27"/>
        <v>8</v>
      </c>
      <c r="EJ7" s="164">
        <f t="shared" si="27"/>
        <v>0.875</v>
      </c>
      <c r="EK7" s="165">
        <f t="shared" si="27"/>
        <v>12.5</v>
      </c>
      <c r="EL7" s="160" t="s">
        <v>40</v>
      </c>
      <c r="EM7" s="166">
        <f t="shared" si="34"/>
        <v>1</v>
      </c>
      <c r="EN7" s="163">
        <f t="shared" si="34"/>
        <v>0</v>
      </c>
      <c r="EO7" s="163">
        <f t="shared" si="28"/>
        <v>0</v>
      </c>
      <c r="EP7" s="164">
        <f t="shared" si="28"/>
        <v>1</v>
      </c>
      <c r="EQ7" s="162">
        <f t="shared" si="28"/>
        <v>6.25</v>
      </c>
    </row>
    <row r="8" spans="1:148" ht="12.75" outlineLevel="2" x14ac:dyDescent="0.2">
      <c r="A8" s="156" t="s">
        <v>83</v>
      </c>
      <c r="B8" s="46" t="s">
        <v>8</v>
      </c>
      <c r="C8" s="46" t="s">
        <v>69</v>
      </c>
      <c r="D8" s="45"/>
      <c r="E8" s="21">
        <v>0.9</v>
      </c>
      <c r="F8" s="177">
        <f>SUM('[1]117324'!$J$26:$M$26)+SUM('[1]117324'!$J$28:$M$28)</f>
        <v>8</v>
      </c>
      <c r="G8" s="177">
        <f>SUM('[2]117324'!$J$22:$M$22)+SUM('[3]117324'!$J$22:$M$22)+SUM('[4]117324'!$J$22:$M$22)+SUM('[1]117324'!$J$23:$M$23)-(SUM('[2]117324'!$J$39:$M$39)+SUM('[3]117324'!$J$39:$M$39)+SUM('[4]117324'!$J$39:$M$39)+SUM('[1]117324'!$J$40:$M$40))</f>
        <v>16</v>
      </c>
      <c r="H8" s="144">
        <f t="shared" si="0"/>
        <v>0.5</v>
      </c>
      <c r="I8" s="143">
        <f t="shared" si="1"/>
        <v>6.9444444444444446</v>
      </c>
      <c r="J8" s="37"/>
      <c r="K8" s="23">
        <v>0.9</v>
      </c>
      <c r="L8" s="198">
        <f>SUM('[5]117324'!$B$11:$B$18)</f>
        <v>4139</v>
      </c>
      <c r="M8" s="175">
        <v>4259.54</v>
      </c>
      <c r="N8" s="142">
        <f t="shared" si="2"/>
        <v>0.97170116960986397</v>
      </c>
      <c r="O8" s="143">
        <f t="shared" si="3"/>
        <v>12.5</v>
      </c>
      <c r="P8" s="37"/>
      <c r="Q8" s="183">
        <v>0.41</v>
      </c>
      <c r="R8" s="140">
        <f>SUM('[1]117324'!$F$205:$Y$205)</f>
        <v>514</v>
      </c>
      <c r="S8" s="175">
        <v>2254</v>
      </c>
      <c r="T8" s="142">
        <f t="shared" si="4"/>
        <v>0.22803904170363798</v>
      </c>
      <c r="U8" s="143">
        <f t="shared" si="29"/>
        <v>3.4762049040188718</v>
      </c>
      <c r="V8" s="37"/>
      <c r="W8" s="183">
        <v>0.16</v>
      </c>
      <c r="X8" s="140">
        <f>SUM('[6]117324'!$S$48+'[6]117324'!$T$48)</f>
        <v>24</v>
      </c>
      <c r="Y8" s="175">
        <v>232</v>
      </c>
      <c r="Z8" s="142">
        <f t="shared" si="30"/>
        <v>0.10344827586206896</v>
      </c>
      <c r="AA8" s="143">
        <f t="shared" si="5"/>
        <v>4.0409482758620694</v>
      </c>
      <c r="AB8" s="43">
        <f t="shared" si="31"/>
        <v>7.5171531798809408</v>
      </c>
      <c r="AC8" s="37"/>
      <c r="AD8" s="183">
        <v>0.33482509872856153</v>
      </c>
      <c r="AE8" s="175">
        <f>'[7]117324'!$C$36+'[7]117324'!$C$37</f>
        <v>684</v>
      </c>
      <c r="AF8" s="175">
        <v>2090.0549999999998</v>
      </c>
      <c r="AG8" s="142">
        <f t="shared" si="6"/>
        <v>0.32726411505917313</v>
      </c>
      <c r="AH8" s="143">
        <f t="shared" si="7"/>
        <v>12.217726370495377</v>
      </c>
      <c r="AI8" s="37"/>
      <c r="AJ8" s="183">
        <v>0.88385447985568255</v>
      </c>
      <c r="AK8" s="175">
        <f>'[7]117324'!$C$63+'[7]117324'!$C$64+'[7]117324'!$C$61+'[7]117324'!$C$62</f>
        <v>1105</v>
      </c>
      <c r="AL8" s="175">
        <f>'[7]117324'!$C$17</f>
        <v>1717</v>
      </c>
      <c r="AM8" s="142">
        <f t="shared" si="8"/>
        <v>0.64356435643564358</v>
      </c>
      <c r="AN8" s="143">
        <f t="shared" si="9"/>
        <v>9.1016730002421617</v>
      </c>
      <c r="AO8" s="37"/>
      <c r="AP8" s="183">
        <v>0.51315031418733337</v>
      </c>
      <c r="AQ8" s="140">
        <f>'[7]117324'!$C$35+'[7]117324'!$C$34</f>
        <v>2341</v>
      </c>
      <c r="AR8" s="175">
        <v>4667.4250000000002</v>
      </c>
      <c r="AS8" s="142">
        <f t="shared" si="10"/>
        <v>0.50156135342292585</v>
      </c>
      <c r="AT8" s="143">
        <f t="shared" si="11"/>
        <v>12.217700631666748</v>
      </c>
      <c r="AU8" s="37"/>
      <c r="AV8" s="183">
        <v>0.57644578313253014</v>
      </c>
      <c r="AW8" s="140">
        <f>SUM('[1]117324'!$H$61)</f>
        <v>30</v>
      </c>
      <c r="AX8" s="140">
        <f>SUM('[1]117324'!$H$67)</f>
        <v>66</v>
      </c>
      <c r="AY8" s="142">
        <f t="shared" si="12"/>
        <v>0.45454545454545453</v>
      </c>
      <c r="AZ8" s="143">
        <f t="shared" si="13"/>
        <v>9.8566393372538208</v>
      </c>
      <c r="BA8" s="37"/>
      <c r="BB8" s="23">
        <v>0.1</v>
      </c>
      <c r="BC8" s="175">
        <f>SUM('[8]117324'!$H$59:$AM$59)+SUM('[8]117324'!$C$63)</f>
        <v>370</v>
      </c>
      <c r="BD8" s="175">
        <v>3001</v>
      </c>
      <c r="BE8" s="142">
        <f>IF(BB8="aut",100%,IF(BD8=0,100%,BC8/BD8))</f>
        <v>0.12329223592135954</v>
      </c>
      <c r="BF8" s="143">
        <f t="shared" si="33"/>
        <v>6.25</v>
      </c>
      <c r="BG8" s="37"/>
      <c r="BH8" s="37"/>
      <c r="BI8" s="23">
        <v>1</v>
      </c>
      <c r="BJ8" s="140"/>
      <c r="BK8" s="140"/>
      <c r="BL8" s="142">
        <f t="shared" si="14"/>
        <v>1</v>
      </c>
      <c r="BM8" s="143">
        <f t="shared" si="15"/>
        <v>6.25</v>
      </c>
      <c r="BN8" s="42"/>
      <c r="BO8" s="22"/>
      <c r="BP8" s="141">
        <f t="shared" si="16"/>
        <v>82.85533696398349</v>
      </c>
      <c r="BQ8" s="41" t="str">
        <f t="shared" si="17"/>
        <v>Tramo 2: 50% C. Variable</v>
      </c>
      <c r="BR8" s="69">
        <v>90</v>
      </c>
      <c r="CO8" s="160" t="s">
        <v>8</v>
      </c>
      <c r="CP8" s="161">
        <f t="shared" si="18"/>
        <v>0.9</v>
      </c>
      <c r="CQ8" s="160">
        <f t="shared" si="18"/>
        <v>8</v>
      </c>
      <c r="CR8" s="160">
        <f t="shared" si="18"/>
        <v>16</v>
      </c>
      <c r="CS8" s="161">
        <f t="shared" si="18"/>
        <v>0.5</v>
      </c>
      <c r="CT8" s="162">
        <f t="shared" si="18"/>
        <v>6.9444444444444446</v>
      </c>
      <c r="CU8" s="160" t="s">
        <v>8</v>
      </c>
      <c r="CV8" s="161">
        <f t="shared" si="19"/>
        <v>0.9</v>
      </c>
      <c r="CW8" s="163">
        <f t="shared" si="19"/>
        <v>4139</v>
      </c>
      <c r="CX8" s="163">
        <f t="shared" si="19"/>
        <v>4259.54</v>
      </c>
      <c r="CY8" s="164">
        <f t="shared" si="19"/>
        <v>0.97170116960986397</v>
      </c>
      <c r="CZ8" s="165">
        <f t="shared" si="19"/>
        <v>12.5</v>
      </c>
      <c r="DA8" s="160" t="s">
        <v>8</v>
      </c>
      <c r="DB8" s="166">
        <f t="shared" si="20"/>
        <v>0.41</v>
      </c>
      <c r="DC8" s="163">
        <f t="shared" si="20"/>
        <v>514</v>
      </c>
      <c r="DD8" s="163">
        <f t="shared" si="20"/>
        <v>2254</v>
      </c>
      <c r="DE8" s="164">
        <f t="shared" si="20"/>
        <v>0.22803904170363798</v>
      </c>
      <c r="DF8" s="165">
        <f t="shared" si="20"/>
        <v>3.4762049040188718</v>
      </c>
      <c r="DG8" s="160" t="s">
        <v>8</v>
      </c>
      <c r="DH8" s="166">
        <f t="shared" si="21"/>
        <v>0.16</v>
      </c>
      <c r="DI8" s="163">
        <f t="shared" si="21"/>
        <v>24</v>
      </c>
      <c r="DJ8" s="163">
        <f t="shared" si="21"/>
        <v>232</v>
      </c>
      <c r="DK8" s="164">
        <f t="shared" si="21"/>
        <v>0.10344827586206896</v>
      </c>
      <c r="DL8" s="165">
        <f t="shared" si="21"/>
        <v>4.0409482758620694</v>
      </c>
      <c r="DM8" s="165">
        <f t="shared" si="21"/>
        <v>7.5171531798809408</v>
      </c>
      <c r="DN8" s="160" t="s">
        <v>8</v>
      </c>
      <c r="DO8" s="166">
        <f t="shared" si="22"/>
        <v>0.33482509872856153</v>
      </c>
      <c r="DP8" s="163">
        <f t="shared" si="23"/>
        <v>684</v>
      </c>
      <c r="DQ8" s="163">
        <f t="shared" si="23"/>
        <v>2090.0549999999998</v>
      </c>
      <c r="DR8" s="164">
        <f t="shared" si="23"/>
        <v>0.32726411505917313</v>
      </c>
      <c r="DS8" s="167">
        <f t="shared" si="23"/>
        <v>12.217726370495377</v>
      </c>
      <c r="DT8" s="160" t="s">
        <v>8</v>
      </c>
      <c r="DU8" s="168">
        <f t="shared" si="24"/>
        <v>0.88385447985568255</v>
      </c>
      <c r="DV8" s="163">
        <f t="shared" si="24"/>
        <v>1105</v>
      </c>
      <c r="DW8" s="163">
        <f t="shared" si="24"/>
        <v>1717</v>
      </c>
      <c r="DX8" s="161">
        <f t="shared" si="24"/>
        <v>0.64356435643564358</v>
      </c>
      <c r="DY8" s="162">
        <f t="shared" si="24"/>
        <v>9.1016730002421617</v>
      </c>
      <c r="DZ8" s="160" t="s">
        <v>8</v>
      </c>
      <c r="EA8" s="166">
        <f t="shared" si="25"/>
        <v>0.51315031418733337</v>
      </c>
      <c r="EB8" s="163">
        <f t="shared" si="26"/>
        <v>2341</v>
      </c>
      <c r="EC8" s="163">
        <f t="shared" si="26"/>
        <v>4667.4250000000002</v>
      </c>
      <c r="ED8" s="161">
        <f t="shared" si="26"/>
        <v>0.50156135342292585</v>
      </c>
      <c r="EE8" s="162">
        <f t="shared" si="26"/>
        <v>12.217700631666748</v>
      </c>
      <c r="EF8" s="160" t="s">
        <v>8</v>
      </c>
      <c r="EG8" s="166">
        <f t="shared" si="27"/>
        <v>0.57644578313253014</v>
      </c>
      <c r="EH8" s="163">
        <f t="shared" si="27"/>
        <v>30</v>
      </c>
      <c r="EI8" s="163">
        <f t="shared" si="27"/>
        <v>66</v>
      </c>
      <c r="EJ8" s="164">
        <f t="shared" si="27"/>
        <v>0.45454545454545453</v>
      </c>
      <c r="EK8" s="165">
        <f t="shared" si="27"/>
        <v>9.8566393372538208</v>
      </c>
      <c r="EL8" s="160" t="s">
        <v>8</v>
      </c>
      <c r="EM8" s="166">
        <f t="shared" si="34"/>
        <v>1</v>
      </c>
      <c r="EN8" s="163">
        <f t="shared" si="34"/>
        <v>0</v>
      </c>
      <c r="EO8" s="163">
        <f t="shared" si="28"/>
        <v>0</v>
      </c>
      <c r="EP8" s="164">
        <f t="shared" si="28"/>
        <v>1</v>
      </c>
      <c r="EQ8" s="162">
        <f t="shared" si="28"/>
        <v>6.25</v>
      </c>
    </row>
    <row r="9" spans="1:148" ht="12.75" outlineLevel="2" x14ac:dyDescent="0.2">
      <c r="A9" s="156" t="s">
        <v>84</v>
      </c>
      <c r="B9" s="46" t="s">
        <v>25</v>
      </c>
      <c r="C9" s="46" t="s">
        <v>69</v>
      </c>
      <c r="D9" s="45"/>
      <c r="E9" s="21">
        <v>0.9</v>
      </c>
      <c r="F9" s="177">
        <f>SUM('[1]117330'!$J$26:$M$26)+SUM('[1]117330'!$J$28:$M$28)</f>
        <v>6</v>
      </c>
      <c r="G9" s="177">
        <f>SUM('[2]117330'!$J$22:$M$22)+SUM('[3]117330'!$J$22:$M$22)+SUM('[4]117330'!$J$22:$M$22)+SUM('[1]117330'!$J$23:$M$23)-(SUM('[2]117330'!$J$39:$M$39)+SUM('[3]117330'!$J$39:$M$39)+SUM('[4]117330'!$J$39:$M$39)+SUM('[1]117330'!$J$40:$M$40))</f>
        <v>10</v>
      </c>
      <c r="H9" s="142">
        <f t="shared" si="0"/>
        <v>0.6</v>
      </c>
      <c r="I9" s="143">
        <f t="shared" si="1"/>
        <v>8.3333333333333321</v>
      </c>
      <c r="J9" s="37"/>
      <c r="K9" s="23">
        <v>0.9</v>
      </c>
      <c r="L9" s="198">
        <f>SUM('[5]117330'!$B$11:$B$18)</f>
        <v>2943</v>
      </c>
      <c r="M9" s="175">
        <v>3135.9</v>
      </c>
      <c r="N9" s="142">
        <f t="shared" si="2"/>
        <v>0.93848655888261745</v>
      </c>
      <c r="O9" s="143">
        <f t="shared" si="3"/>
        <v>12.5</v>
      </c>
      <c r="P9" s="37"/>
      <c r="Q9" s="183">
        <v>0.41</v>
      </c>
      <c r="R9" s="140">
        <f>SUM('[1]117330'!$F$205:$Y$205)</f>
        <v>476</v>
      </c>
      <c r="S9" s="175">
        <v>1857</v>
      </c>
      <c r="T9" s="142">
        <f t="shared" si="4"/>
        <v>0.25632740980075391</v>
      </c>
      <c r="U9" s="143">
        <f t="shared" si="29"/>
        <v>3.9074300274505176</v>
      </c>
      <c r="V9" s="37"/>
      <c r="W9" s="183">
        <v>0.15905982905982907</v>
      </c>
      <c r="X9" s="140">
        <f>SUM('[6]117330'!$S$48+'[6]117330'!$T$48)</f>
        <v>23</v>
      </c>
      <c r="Y9" s="175">
        <v>156</v>
      </c>
      <c r="Z9" s="142">
        <f t="shared" si="30"/>
        <v>0.14743589743589744</v>
      </c>
      <c r="AA9" s="143">
        <f t="shared" si="5"/>
        <v>5.7932563138097795</v>
      </c>
      <c r="AB9" s="43">
        <f t="shared" si="31"/>
        <v>9.7006863412602975</v>
      </c>
      <c r="AC9" s="37"/>
      <c r="AD9" s="183">
        <v>0.28103539365815222</v>
      </c>
      <c r="AE9" s="175">
        <f>'[7]117330'!$C$36+'[7]117330'!$C$37</f>
        <v>305</v>
      </c>
      <c r="AF9" s="175">
        <v>1370.3220000000001</v>
      </c>
      <c r="AG9" s="142">
        <f t="shared" si="6"/>
        <v>0.22257542387847526</v>
      </c>
      <c r="AH9" s="143">
        <f t="shared" si="7"/>
        <v>9.899795048111141</v>
      </c>
      <c r="AI9" s="37"/>
      <c r="AJ9" s="183">
        <v>0.88077881619937703</v>
      </c>
      <c r="AK9" s="175">
        <f>'[7]117330'!$C$63+'[7]117330'!$C$64+'[7]117330'!$C$61+'[7]117330'!$C$62</f>
        <v>761</v>
      </c>
      <c r="AL9" s="175">
        <f>'[7]117330'!$C$17</f>
        <v>1022</v>
      </c>
      <c r="AM9" s="142">
        <f t="shared" si="8"/>
        <v>0.74461839530332685</v>
      </c>
      <c r="AN9" s="143">
        <f t="shared" si="9"/>
        <v>10.567613310064722</v>
      </c>
      <c r="AO9" s="37"/>
      <c r="AP9" s="183">
        <v>0.39774062546939309</v>
      </c>
      <c r="AQ9" s="140">
        <f>'[7]117330'!$C$35+'[7]117330'!$C$34</f>
        <v>1001</v>
      </c>
      <c r="AR9" s="175">
        <v>3009.922</v>
      </c>
      <c r="AS9" s="142">
        <f t="shared" si="10"/>
        <v>0.33256675754388321</v>
      </c>
      <c r="AT9" s="143">
        <f t="shared" si="11"/>
        <v>10.451747201816666</v>
      </c>
      <c r="AU9" s="37"/>
      <c r="AV9" s="183">
        <v>0.64942528735632188</v>
      </c>
      <c r="AW9" s="140">
        <f>SUM('[1]117330'!$H$61)</f>
        <v>43</v>
      </c>
      <c r="AX9" s="140">
        <f>SUM('[1]117330'!$H$67)</f>
        <v>67</v>
      </c>
      <c r="AY9" s="142">
        <f t="shared" si="12"/>
        <v>0.64179104477611937</v>
      </c>
      <c r="AZ9" s="143">
        <f t="shared" si="13"/>
        <v>12.353057720248314</v>
      </c>
      <c r="BA9" s="37"/>
      <c r="BB9" s="23">
        <v>0.1</v>
      </c>
      <c r="BC9" s="175">
        <f>SUM('[8]117330'!$H$59:$AM$59)+SUM('[8]117330'!$C$63)</f>
        <v>333</v>
      </c>
      <c r="BD9" s="175">
        <v>2151</v>
      </c>
      <c r="BE9" s="142">
        <f t="shared" si="32"/>
        <v>0.15481171548117154</v>
      </c>
      <c r="BF9" s="143">
        <f t="shared" si="33"/>
        <v>6.25</v>
      </c>
      <c r="BG9" s="37"/>
      <c r="BH9" s="37"/>
      <c r="BI9" s="23">
        <v>1</v>
      </c>
      <c r="BJ9" s="140"/>
      <c r="BK9" s="140"/>
      <c r="BL9" s="142">
        <f t="shared" si="14"/>
        <v>1</v>
      </c>
      <c r="BM9" s="143">
        <f t="shared" si="15"/>
        <v>6.25</v>
      </c>
      <c r="BN9" s="42"/>
      <c r="BO9" s="22"/>
      <c r="BP9" s="141">
        <f t="shared" si="16"/>
        <v>86.306232954834471</v>
      </c>
      <c r="BQ9" s="41" t="str">
        <f t="shared" si="17"/>
        <v>Tramo 2: 50% C. Variable</v>
      </c>
      <c r="BR9" s="69">
        <v>90</v>
      </c>
      <c r="CO9" s="160" t="s">
        <v>25</v>
      </c>
      <c r="CP9" s="161">
        <f t="shared" si="18"/>
        <v>0.9</v>
      </c>
      <c r="CQ9" s="160">
        <f t="shared" si="18"/>
        <v>6</v>
      </c>
      <c r="CR9" s="160">
        <f t="shared" si="18"/>
        <v>10</v>
      </c>
      <c r="CS9" s="161">
        <f t="shared" si="18"/>
        <v>0.6</v>
      </c>
      <c r="CT9" s="162">
        <f t="shared" si="18"/>
        <v>8.3333333333333321</v>
      </c>
      <c r="CU9" s="160" t="s">
        <v>25</v>
      </c>
      <c r="CV9" s="161">
        <f t="shared" si="19"/>
        <v>0.9</v>
      </c>
      <c r="CW9" s="163">
        <f t="shared" si="19"/>
        <v>2943</v>
      </c>
      <c r="CX9" s="163">
        <f t="shared" si="19"/>
        <v>3135.9</v>
      </c>
      <c r="CY9" s="164">
        <f t="shared" si="19"/>
        <v>0.93848655888261745</v>
      </c>
      <c r="CZ9" s="165">
        <f t="shared" si="19"/>
        <v>12.5</v>
      </c>
      <c r="DA9" s="160" t="s">
        <v>25</v>
      </c>
      <c r="DB9" s="166">
        <f t="shared" si="20"/>
        <v>0.41</v>
      </c>
      <c r="DC9" s="163">
        <f t="shared" si="20"/>
        <v>476</v>
      </c>
      <c r="DD9" s="163">
        <f t="shared" si="20"/>
        <v>1857</v>
      </c>
      <c r="DE9" s="164">
        <f t="shared" si="20"/>
        <v>0.25632740980075391</v>
      </c>
      <c r="DF9" s="165">
        <f t="shared" si="20"/>
        <v>3.9074300274505176</v>
      </c>
      <c r="DG9" s="160" t="s">
        <v>25</v>
      </c>
      <c r="DH9" s="166">
        <f t="shared" si="21"/>
        <v>0.15905982905982907</v>
      </c>
      <c r="DI9" s="163">
        <f t="shared" si="21"/>
        <v>23</v>
      </c>
      <c r="DJ9" s="163">
        <f t="shared" si="21"/>
        <v>156</v>
      </c>
      <c r="DK9" s="164">
        <f t="shared" si="21"/>
        <v>0.14743589743589744</v>
      </c>
      <c r="DL9" s="165">
        <f t="shared" si="21"/>
        <v>5.7932563138097795</v>
      </c>
      <c r="DM9" s="165">
        <f t="shared" si="21"/>
        <v>9.7006863412602975</v>
      </c>
      <c r="DN9" s="160" t="s">
        <v>25</v>
      </c>
      <c r="DO9" s="166">
        <f t="shared" si="22"/>
        <v>0.28103539365815222</v>
      </c>
      <c r="DP9" s="163">
        <f t="shared" si="23"/>
        <v>305</v>
      </c>
      <c r="DQ9" s="163">
        <f t="shared" si="23"/>
        <v>1370.3220000000001</v>
      </c>
      <c r="DR9" s="164">
        <f t="shared" si="23"/>
        <v>0.22257542387847526</v>
      </c>
      <c r="DS9" s="167">
        <f t="shared" si="23"/>
        <v>9.899795048111141</v>
      </c>
      <c r="DT9" s="160" t="s">
        <v>25</v>
      </c>
      <c r="DU9" s="168">
        <f t="shared" si="24"/>
        <v>0.88077881619937703</v>
      </c>
      <c r="DV9" s="163">
        <f t="shared" si="24"/>
        <v>761</v>
      </c>
      <c r="DW9" s="163">
        <f t="shared" si="24"/>
        <v>1022</v>
      </c>
      <c r="DX9" s="161">
        <f t="shared" si="24"/>
        <v>0.74461839530332685</v>
      </c>
      <c r="DY9" s="162">
        <f t="shared" si="24"/>
        <v>10.567613310064722</v>
      </c>
      <c r="DZ9" s="160" t="s">
        <v>25</v>
      </c>
      <c r="EA9" s="166">
        <f t="shared" si="25"/>
        <v>0.39774062546939309</v>
      </c>
      <c r="EB9" s="163">
        <f t="shared" si="26"/>
        <v>1001</v>
      </c>
      <c r="EC9" s="163">
        <f t="shared" si="26"/>
        <v>3009.922</v>
      </c>
      <c r="ED9" s="161">
        <f t="shared" si="26"/>
        <v>0.33256675754388321</v>
      </c>
      <c r="EE9" s="162">
        <f t="shared" si="26"/>
        <v>10.451747201816666</v>
      </c>
      <c r="EF9" s="160" t="s">
        <v>25</v>
      </c>
      <c r="EG9" s="166">
        <f t="shared" si="27"/>
        <v>0.64942528735632188</v>
      </c>
      <c r="EH9" s="163">
        <f t="shared" si="27"/>
        <v>43</v>
      </c>
      <c r="EI9" s="163">
        <f t="shared" si="27"/>
        <v>67</v>
      </c>
      <c r="EJ9" s="164">
        <f t="shared" si="27"/>
        <v>0.64179104477611937</v>
      </c>
      <c r="EK9" s="165">
        <f t="shared" si="27"/>
        <v>12.353057720248314</v>
      </c>
      <c r="EL9" s="160" t="s">
        <v>25</v>
      </c>
      <c r="EM9" s="166">
        <f t="shared" si="34"/>
        <v>1</v>
      </c>
      <c r="EN9" s="163">
        <f t="shared" si="34"/>
        <v>0</v>
      </c>
      <c r="EO9" s="163">
        <f t="shared" si="28"/>
        <v>0</v>
      </c>
      <c r="EP9" s="164">
        <f t="shared" si="28"/>
        <v>1</v>
      </c>
      <c r="EQ9" s="162">
        <f t="shared" si="28"/>
        <v>6.25</v>
      </c>
      <c r="ER9" s="169" t="s">
        <v>193</v>
      </c>
    </row>
    <row r="10" spans="1:148" ht="12.75" customHeight="1" outlineLevel="2" x14ac:dyDescent="0.2">
      <c r="A10" s="156" t="s">
        <v>85</v>
      </c>
      <c r="B10" s="46" t="s">
        <v>50</v>
      </c>
      <c r="C10" s="46" t="s">
        <v>69</v>
      </c>
      <c r="D10" s="45"/>
      <c r="E10" s="21">
        <v>0.9</v>
      </c>
      <c r="F10" s="177">
        <f>SUM('[1]117328'!$J$26:$M$26)+SUM('[1]117328'!$J$28:$M$28)</f>
        <v>0</v>
      </c>
      <c r="G10" s="177">
        <f>SUM('[2]117328'!$J$22:$M$22)+SUM('[3]117328'!$J$22:$M$22)+SUM('[4]117328'!$J$22:$M$22)+SUM('[1]117328'!$J$23:$M$23)+SUM('[2]117413'!$J$22:$M$22)+SUM('[3]117413'!$J$22:$M$22)+SUM('[4]117413'!$J$22:$M$22)+SUM('[1]117413'!$J$23:$M$23)+SUM('[2]117414'!$J$22:$M$22)+SUM('[3]117414'!$J$22:$M$22)+SUM('[4]117414'!$J$22:$M$22)+SUM('[1]117414'!$J$23:$M$23)-(SUM('[2]117328'!$J$39:$M$39)+SUM('[3]117328'!$J$39:$M$39)+SUM('[4]117328'!$J$39:$M$39)+SUM('[1]117328'!$J$40:$M$40)+SUM('[2]117413'!$J$39:$M$39)+SUM('[3]117413'!$J$39:$M$39)+SUM('[4]117413'!$J$39:$M$39)+SUM('[1]117413'!$J$40:$M$40)+SUM('[2]117414'!$J$39:$M$39)+SUM('[3]117414'!$J$39:$M$39)+SUM('[4]117414'!$J$39:$M$39)+SUM('[1]117414'!$J$40:$M$40))</f>
        <v>6</v>
      </c>
      <c r="H10" s="144">
        <f t="shared" si="0"/>
        <v>0</v>
      </c>
      <c r="I10" s="143">
        <f t="shared" si="1"/>
        <v>0</v>
      </c>
      <c r="J10" s="37"/>
      <c r="K10" s="23">
        <v>0.9</v>
      </c>
      <c r="L10" s="198">
        <f>SUM('[5]117328'!$B$11:$B$18)+SUM('[5]117413'!$B$11:$B$18)+SUM('[5]117414'!$B$11:$B$18)</f>
        <v>3594</v>
      </c>
      <c r="M10" s="175">
        <v>4011.2</v>
      </c>
      <c r="N10" s="142">
        <f t="shared" si="2"/>
        <v>0.89599122457120073</v>
      </c>
      <c r="O10" s="143">
        <f t="shared" si="3"/>
        <v>12.4443225634889</v>
      </c>
      <c r="P10" s="37"/>
      <c r="Q10" s="183">
        <v>0.41</v>
      </c>
      <c r="R10" s="140">
        <f>SUM('[1]117328'!$F$205:$Y$205)+SUM('[1]117413'!$F$205:$Y$205)+SUM('[1]117414'!$F$205:$Y$205)</f>
        <v>639</v>
      </c>
      <c r="S10" s="175">
        <v>2412</v>
      </c>
      <c r="T10" s="142">
        <f t="shared" si="4"/>
        <v>0.26492537313432835</v>
      </c>
      <c r="U10" s="143">
        <f t="shared" si="29"/>
        <v>4.0384965416818348</v>
      </c>
      <c r="V10" s="37"/>
      <c r="W10" s="183">
        <v>0.13390334572490706</v>
      </c>
      <c r="X10" s="140">
        <f>SUM('[6]117328'!$S$48+'[6]117328'!$T$48)+SUM('[6]117413'!$S$48+'[6]117413'!$T$48)+SUM('[6]117414'!$S$48+'[6]117414'!$T$48)</f>
        <v>43</v>
      </c>
      <c r="Y10" s="175">
        <v>228</v>
      </c>
      <c r="Z10" s="142">
        <f t="shared" si="30"/>
        <v>0.18859649122807018</v>
      </c>
      <c r="AA10" s="143">
        <f t="shared" si="5"/>
        <v>6.25</v>
      </c>
      <c r="AB10" s="43">
        <f t="shared" si="31"/>
        <v>10.288496541681834</v>
      </c>
      <c r="AC10" s="37"/>
      <c r="AD10" s="183">
        <v>0.27853938350129803</v>
      </c>
      <c r="AE10" s="175">
        <f>'[7]117328'!$C$36+'[7]117328'!$C$37+'[7]117413'!$C$36+'[7]117413'!$C$37+'[7]117414'!$C$36+'[7]117414'!$C$37</f>
        <v>585</v>
      </c>
      <c r="AF10" s="175">
        <v>2375.6759999999999</v>
      </c>
      <c r="AG10" s="142">
        <f t="shared" si="6"/>
        <v>0.24624570017123548</v>
      </c>
      <c r="AH10" s="143">
        <f t="shared" si="7"/>
        <v>11.050757754427568</v>
      </c>
      <c r="AI10" s="37"/>
      <c r="AJ10" s="183">
        <v>0.87654545454545463</v>
      </c>
      <c r="AK10" s="175">
        <f>'[7]117328'!$C$63+'[7]117328'!$C$64+'[7]117328'!$C$61+'[7]117328'!$C$62+'[7]117413'!$C$63+'[7]117413'!$C$64+'[7]117413'!$C$61+'[7]117413'!$C$62+'[7]117414'!$C$63+'[7]117414'!$C$64+'[7]117414'!$C$61+'[7]117414'!$C$62</f>
        <v>1551</v>
      </c>
      <c r="AL10" s="175">
        <f>'[7]117328'!$C$17+'[7]117413'!$C$17+'[7]117414'!$C$17</f>
        <v>1774</v>
      </c>
      <c r="AM10" s="142">
        <f t="shared" si="8"/>
        <v>0.87429537767756482</v>
      </c>
      <c r="AN10" s="143">
        <f t="shared" si="9"/>
        <v>12.467912718384687</v>
      </c>
      <c r="AO10" s="37"/>
      <c r="AP10" s="183">
        <v>0.37081494167489631</v>
      </c>
      <c r="AQ10" s="140">
        <f>'[7]117328'!$C$35+'[7]117328'!$C$34+'[7]117413'!$C$35+'[7]117413'!$C$34+'[7]117414'!$C$35+'[7]117414'!$C$34</f>
        <v>1681</v>
      </c>
      <c r="AR10" s="175">
        <v>5360.4030000000002</v>
      </c>
      <c r="AS10" s="142">
        <f t="shared" si="10"/>
        <v>0.31359582479153153</v>
      </c>
      <c r="AT10" s="143">
        <f t="shared" si="11"/>
        <v>10.571170061779416</v>
      </c>
      <c r="AU10" s="37"/>
      <c r="AV10" s="183">
        <v>0.66863905325443784</v>
      </c>
      <c r="AW10" s="140">
        <f>SUM('[1]117328'!$H$61)+SUM('[1]117413'!$H$61)+SUM('[1]117414'!$H$61)</f>
        <v>37</v>
      </c>
      <c r="AX10" s="140">
        <f>SUM('[1]117328'!$H$67)+SUM('[1]117413'!$H$67)+SUM('[1]117414'!$H$67)</f>
        <v>58</v>
      </c>
      <c r="AY10" s="142">
        <f t="shared" si="12"/>
        <v>0.63793103448275867</v>
      </c>
      <c r="AZ10" s="143">
        <f t="shared" si="13"/>
        <v>11.925923100396705</v>
      </c>
      <c r="BA10" s="37"/>
      <c r="BB10" s="23">
        <v>0.1</v>
      </c>
      <c r="BC10" s="175">
        <f>SUM('[8]117328'!$H$59:$AM$59)+SUM('[8]117328'!$C$63)+SUM('[8]117413'!$H$59:$AM$59)+SUM('[8]117413'!$C$63)+SUM('[8]117414'!$H$59:$AM$59)+SUM('[8]117414'!$C$63)</f>
        <v>687</v>
      </c>
      <c r="BD10" s="175">
        <v>3244</v>
      </c>
      <c r="BE10" s="142">
        <f t="shared" si="32"/>
        <v>0.21177558569667077</v>
      </c>
      <c r="BF10" s="143">
        <f t="shared" si="33"/>
        <v>6.25</v>
      </c>
      <c r="BG10" s="37"/>
      <c r="BH10" s="37"/>
      <c r="BI10" s="23">
        <v>1</v>
      </c>
      <c r="BJ10" s="140"/>
      <c r="BK10" s="140"/>
      <c r="BL10" s="142">
        <f t="shared" si="14"/>
        <v>1</v>
      </c>
      <c r="BM10" s="143">
        <f t="shared" si="15"/>
        <v>6.25</v>
      </c>
      <c r="BN10" s="42"/>
      <c r="BO10" s="22"/>
      <c r="BP10" s="141">
        <f t="shared" si="16"/>
        <v>81.248582740159108</v>
      </c>
      <c r="BQ10" s="41" t="str">
        <f t="shared" si="17"/>
        <v>Tramo 2: 50% C. Variable</v>
      </c>
      <c r="BR10" s="69">
        <v>90</v>
      </c>
      <c r="CP10" s="166">
        <v>0.9</v>
      </c>
      <c r="CQ10" s="160">
        <f>SUM(CQ4:CQ9)</f>
        <v>39</v>
      </c>
      <c r="CR10" s="160">
        <f>SUM(CR4:CR9)</f>
        <v>56</v>
      </c>
      <c r="CS10" s="170">
        <f>CQ10/CR10</f>
        <v>0.6964285714285714</v>
      </c>
      <c r="CT10" s="162">
        <f>IF(CP10="aut",$C$2,IF(CS10&gt;=CP10,$C$2,((CS10/CP10)*$C$2)))</f>
        <v>9.6726190476190474</v>
      </c>
      <c r="CV10" s="166">
        <v>0.9</v>
      </c>
      <c r="CW10" s="163">
        <f>SUM(CW4:CW9)</f>
        <v>22261</v>
      </c>
      <c r="CX10" s="163">
        <f>SUM(CX4:CX9)</f>
        <v>24333.660000000003</v>
      </c>
      <c r="CY10" s="171">
        <f>CW10/CX10</f>
        <v>0.914823335248376</v>
      </c>
      <c r="CZ10" s="165">
        <f>IF(CV10="aut",$C$2,IF(CY10&gt;=CV10,$C$2,((CY10/CV10)*$C$2)))</f>
        <v>12.5</v>
      </c>
      <c r="DB10" s="166">
        <f>Q10</f>
        <v>0.41</v>
      </c>
      <c r="DC10" s="163">
        <f>SUM(DC4:DC9)</f>
        <v>3241</v>
      </c>
      <c r="DD10" s="163">
        <f>SUM(DD4:DD9)</f>
        <v>13934</v>
      </c>
      <c r="DE10" s="171">
        <f>DC10/DD10</f>
        <v>0.2325965264819865</v>
      </c>
      <c r="DF10" s="165">
        <f>IF(DB10="aut",$C$2,IF(DE10&gt;=DB10,$C$2,((DE10/DB10)*$C$2/2)))</f>
        <v>3.5456787573473556</v>
      </c>
      <c r="DH10" s="166">
        <f>DI10/DJ10</f>
        <v>0.14711864406779662</v>
      </c>
      <c r="DI10" s="163">
        <f>SUM(DI4:DI9)</f>
        <v>217</v>
      </c>
      <c r="DJ10" s="163">
        <f>SUM(DJ4:DJ9)</f>
        <v>1475</v>
      </c>
      <c r="DK10" s="171">
        <f>IFERROR(DH10/DH10,0%)</f>
        <v>1</v>
      </c>
      <c r="DL10" s="165">
        <f>IF(W10="aut",($C$2/2),IF(Z10&gt;=W10,$C$2/2,((Z10/W10)*$C$2/2)))</f>
        <v>6.25</v>
      </c>
      <c r="DM10" s="165">
        <f>DF10+DL10</f>
        <v>9.7956787573473552</v>
      </c>
      <c r="DO10" s="166">
        <v>0.28000000000000003</v>
      </c>
      <c r="DP10" s="163">
        <f>SUM(DP4:DP9)</f>
        <v>4035</v>
      </c>
      <c r="DQ10" s="163">
        <f>SUM(DQ4:DQ9)</f>
        <v>14517.216</v>
      </c>
      <c r="DR10" s="171">
        <f>DP10/DQ10</f>
        <v>0.27794585408111305</v>
      </c>
      <c r="DS10" s="165">
        <f>IF(DO10="aut",$C$2,IF(DR10&gt;=DO10,$C$2,((DR10/DO10)*$C$2)))</f>
        <v>12.408297057192545</v>
      </c>
      <c r="DU10" s="166">
        <v>0.9</v>
      </c>
      <c r="DV10" s="163">
        <f>SUM(DV4:DV9)</f>
        <v>7040</v>
      </c>
      <c r="DW10" s="163">
        <f>SUM(DW4:DW9)</f>
        <v>9528</v>
      </c>
      <c r="DX10" s="171">
        <f>DV10/DW10</f>
        <v>0.73887489504617965</v>
      </c>
      <c r="DY10" s="165">
        <f>IF(DU10="aut",$C$2,IF(DX10&gt;=DU10,$C$2,((DX10/DU10)*$C$2)))</f>
        <v>10.262151320085829</v>
      </c>
      <c r="EA10" s="166">
        <v>0.43</v>
      </c>
      <c r="EB10" s="163">
        <f>SUM(EB4:EB9)</f>
        <v>10294</v>
      </c>
      <c r="EC10" s="163">
        <f>SUM(EC4:EC9)</f>
        <v>32761.485999999994</v>
      </c>
      <c r="ED10" s="171">
        <f>EB10/EC10</f>
        <v>0.31421041157901086</v>
      </c>
      <c r="EE10" s="165">
        <f>IF(EA10="aut",$C$2,IF(ED10&gt;=EA10,$C$2,((ED10/EA10)*$C$2)))</f>
        <v>9.1340235924131061</v>
      </c>
      <c r="EG10" s="166">
        <v>0.6</v>
      </c>
      <c r="EH10" s="163">
        <f>SUM(EH4:EH9)</f>
        <v>260</v>
      </c>
      <c r="EI10" s="163">
        <f>SUM(EI4:EI9)</f>
        <v>417</v>
      </c>
      <c r="EJ10" s="171">
        <f>EH10/EI10</f>
        <v>0.6235011990407674</v>
      </c>
      <c r="EK10" s="165">
        <f>IF(EG10="aut",$C$2,IF(EJ10&gt;=EG10,$C$2,((EJ10/EG10)*$C$2)))</f>
        <v>12.5</v>
      </c>
      <c r="EM10" s="166">
        <v>0.8</v>
      </c>
      <c r="EN10" s="163">
        <f>SUM(EN4:EN9)</f>
        <v>0</v>
      </c>
      <c r="EO10" s="163">
        <f>SUM(EO4:EO9)</f>
        <v>0</v>
      </c>
      <c r="EP10" s="171" t="e">
        <f>EN10/EO10</f>
        <v>#DIV/0!</v>
      </c>
      <c r="EQ10" s="165" t="e">
        <f>IF(EM10="aut",$C$2,IF(EP10&gt;=EM10,$C$2,((EP10/EM10)*$C$2)))</f>
        <v>#DIV/0!</v>
      </c>
      <c r="ER10" s="172" t="e">
        <f>+EQ10+EK10+EE10+DY10+DS10+DM10+CZ10+CT10</f>
        <v>#DIV/0!</v>
      </c>
    </row>
    <row r="11" spans="1:148" ht="12.75" outlineLevel="2" x14ac:dyDescent="0.2">
      <c r="A11" s="156" t="s">
        <v>86</v>
      </c>
      <c r="B11" s="46" t="s">
        <v>51</v>
      </c>
      <c r="C11" s="46" t="s">
        <v>69</v>
      </c>
      <c r="D11" s="45"/>
      <c r="E11" s="21">
        <v>0.9</v>
      </c>
      <c r="F11" s="177">
        <f>SUM('[1]117331'!$J$26:$M$26)+SUM('[1]117331'!$J$28:$M$28)</f>
        <v>5</v>
      </c>
      <c r="G11" s="177">
        <f>(SUM('[2]117331'!$J$22:$M$22)+SUM('[3]117331'!$J$22:$M$22)+SUM('[4]117331'!$J$22:$M$22)+SUM('[1]117331'!$J$23:$M$23))-(SUM('[2]117331'!$J$39:$M$39)+SUM('[3]117331'!$J$39:$M$39)+SUM('[4]117331'!$J$39:$M$39)+SUM('[1]117331'!$J$40:$M$40))</f>
        <v>7</v>
      </c>
      <c r="H11" s="144">
        <f t="shared" si="0"/>
        <v>0.7142857142857143</v>
      </c>
      <c r="I11" s="143">
        <f t="shared" si="1"/>
        <v>9.9206349206349209</v>
      </c>
      <c r="J11" s="37"/>
      <c r="K11" s="23">
        <v>0.9</v>
      </c>
      <c r="L11" s="198">
        <f>SUM('[5]117331'!$B$11:$B$18)</f>
        <v>2519</v>
      </c>
      <c r="M11" s="175">
        <v>2707.62</v>
      </c>
      <c r="N11" s="142">
        <f t="shared" si="2"/>
        <v>0.9303373442358972</v>
      </c>
      <c r="O11" s="143">
        <f t="shared" si="3"/>
        <v>12.5</v>
      </c>
      <c r="P11" s="37"/>
      <c r="Q11" s="183">
        <v>0.41</v>
      </c>
      <c r="R11" s="140">
        <f>SUM('[1]117331'!$F$205:$Y$205)</f>
        <v>503</v>
      </c>
      <c r="S11" s="175">
        <v>1596</v>
      </c>
      <c r="T11" s="142">
        <f t="shared" si="4"/>
        <v>0.31516290726817042</v>
      </c>
      <c r="U11" s="143">
        <f t="shared" si="29"/>
        <v>4.8043126107952814</v>
      </c>
      <c r="V11" s="37"/>
      <c r="W11" s="183">
        <v>0.16</v>
      </c>
      <c r="X11" s="140">
        <f>SUM('[6]117331'!$S$48+'[6]117331'!$T$48)</f>
        <v>25</v>
      </c>
      <c r="Y11" s="175">
        <v>180</v>
      </c>
      <c r="Z11" s="142">
        <f t="shared" si="30"/>
        <v>0.1388888888888889</v>
      </c>
      <c r="AA11" s="143">
        <f>IF(W11="aut",($C$2/2),IF(Z11&gt;=W11,$C$2/2,((Z11/W11)*$C$2/2)))</f>
        <v>5.4253472222222223</v>
      </c>
      <c r="AB11" s="43">
        <f t="shared" si="31"/>
        <v>10.229659833017504</v>
      </c>
      <c r="AC11" s="37"/>
      <c r="AD11" s="183">
        <v>0.33281711106842204</v>
      </c>
      <c r="AE11" s="175">
        <f>'[7]117331'!$C$36+'[7]117331'!$C$37</f>
        <v>440</v>
      </c>
      <c r="AF11" s="175">
        <v>1379.229</v>
      </c>
      <c r="AG11" s="142">
        <f t="shared" si="6"/>
        <v>0.31901881413456357</v>
      </c>
      <c r="AH11" s="143">
        <f t="shared" si="7"/>
        <v>11.981761285892023</v>
      </c>
      <c r="AI11" s="37"/>
      <c r="AJ11" s="183">
        <v>0.87625922023182301</v>
      </c>
      <c r="AK11" s="175">
        <f>'[7]117331'!$C$63+'[7]117331'!$C$64+'[7]117331'!$C$61+'[7]117331'!$C$62</f>
        <v>910</v>
      </c>
      <c r="AL11" s="175">
        <f>'[7]117331'!$C$17</f>
        <v>1061</v>
      </c>
      <c r="AM11" s="142">
        <f t="shared" si="8"/>
        <v>0.85768143261074459</v>
      </c>
      <c r="AN11" s="143">
        <f t="shared" si="9"/>
        <v>12.234984420247191</v>
      </c>
      <c r="AO11" s="37"/>
      <c r="AP11" s="183">
        <v>0.4152398501755491</v>
      </c>
      <c r="AQ11" s="140">
        <f>'[7]117331'!$C$35+'[7]117331'!$C$34</f>
        <v>1051</v>
      </c>
      <c r="AR11" s="175">
        <v>3102.212</v>
      </c>
      <c r="AS11" s="142">
        <f t="shared" si="10"/>
        <v>0.3387905146392316</v>
      </c>
      <c r="AT11" s="143">
        <f t="shared" si="11"/>
        <v>10.198639247172526</v>
      </c>
      <c r="AU11" s="37"/>
      <c r="AV11" s="183">
        <v>0.47760000000000002</v>
      </c>
      <c r="AW11" s="140">
        <f>SUM('[1]117331'!$H$61)</f>
        <v>32</v>
      </c>
      <c r="AX11" s="140">
        <f>SUM('[1]117331'!$H$67)</f>
        <v>64</v>
      </c>
      <c r="AY11" s="142">
        <f t="shared" si="12"/>
        <v>0.5</v>
      </c>
      <c r="AZ11" s="143">
        <f t="shared" si="13"/>
        <v>12.5</v>
      </c>
      <c r="BA11" s="37"/>
      <c r="BB11" s="23">
        <v>0.1</v>
      </c>
      <c r="BC11" s="175">
        <f>SUM('[8]117331'!$H$59:$AM$59)+SUM('[8]117331'!$C$63)</f>
        <v>369</v>
      </c>
      <c r="BD11" s="175">
        <v>1988</v>
      </c>
      <c r="BE11" s="142">
        <f>IF(BB11="aut",100%,IF(BD11=0,100%,BC11/BD11))</f>
        <v>0.18561368209255533</v>
      </c>
      <c r="BF11" s="143">
        <f t="shared" si="33"/>
        <v>6.25</v>
      </c>
      <c r="BG11" s="37"/>
      <c r="BH11" s="37"/>
      <c r="BI11" s="23">
        <v>1</v>
      </c>
      <c r="BJ11" s="140"/>
      <c r="BK11" s="140"/>
      <c r="BL11" s="142">
        <f t="shared" si="14"/>
        <v>1</v>
      </c>
      <c r="BM11" s="143">
        <f t="shared" si="15"/>
        <v>6.25</v>
      </c>
      <c r="BN11" s="42"/>
      <c r="BO11" s="22"/>
      <c r="BP11" s="141">
        <f t="shared" si="16"/>
        <v>92.065679706964161</v>
      </c>
      <c r="BQ11" s="41" t="str">
        <f t="shared" si="17"/>
        <v>Tramo 1: 100% C. Variable</v>
      </c>
      <c r="BR11" s="69">
        <v>90</v>
      </c>
      <c r="CO11" s="160" t="s">
        <v>50</v>
      </c>
      <c r="CP11" s="161">
        <f t="shared" ref="CP11:CT12" si="35">E10</f>
        <v>0.9</v>
      </c>
      <c r="CQ11" s="173">
        <f t="shared" si="35"/>
        <v>0</v>
      </c>
      <c r="CR11" s="173">
        <f t="shared" si="35"/>
        <v>6</v>
      </c>
      <c r="CS11" s="161">
        <f t="shared" si="35"/>
        <v>0</v>
      </c>
      <c r="CT11" s="162">
        <f t="shared" si="35"/>
        <v>0</v>
      </c>
      <c r="CU11" s="160" t="s">
        <v>50</v>
      </c>
      <c r="CV11" s="161">
        <f t="shared" ref="CV11:CZ12" si="36">K10</f>
        <v>0.9</v>
      </c>
      <c r="CW11" s="163">
        <f t="shared" si="36"/>
        <v>3594</v>
      </c>
      <c r="CX11" s="163">
        <f t="shared" si="36"/>
        <v>4011.2</v>
      </c>
      <c r="CY11" s="161">
        <f t="shared" si="36"/>
        <v>0.89599122457120073</v>
      </c>
      <c r="CZ11" s="162">
        <f t="shared" si="36"/>
        <v>12.4443225634889</v>
      </c>
      <c r="DA11" s="160" t="s">
        <v>50</v>
      </c>
      <c r="DB11" s="166">
        <f>Q11</f>
        <v>0.41</v>
      </c>
      <c r="DC11" s="163">
        <f t="shared" ref="DC11:DF12" si="37">R10</f>
        <v>639</v>
      </c>
      <c r="DD11" s="163">
        <f t="shared" si="37"/>
        <v>2412</v>
      </c>
      <c r="DE11" s="161">
        <f t="shared" si="37"/>
        <v>0.26492537313432835</v>
      </c>
      <c r="DF11" s="162">
        <f t="shared" si="37"/>
        <v>4.0384965416818348</v>
      </c>
      <c r="DG11" s="160" t="s">
        <v>50</v>
      </c>
      <c r="DH11" s="166">
        <f t="shared" ref="DH11:DM11" si="38">W10</f>
        <v>0.13390334572490706</v>
      </c>
      <c r="DI11" s="163">
        <f t="shared" si="38"/>
        <v>43</v>
      </c>
      <c r="DJ11" s="163">
        <f t="shared" si="38"/>
        <v>228</v>
      </c>
      <c r="DK11" s="161">
        <f t="shared" si="38"/>
        <v>0.18859649122807018</v>
      </c>
      <c r="DL11" s="162">
        <f t="shared" si="38"/>
        <v>6.25</v>
      </c>
      <c r="DM11" s="165">
        <f t="shared" si="38"/>
        <v>10.288496541681834</v>
      </c>
      <c r="DN11" s="160" t="s">
        <v>50</v>
      </c>
      <c r="DO11" s="166">
        <f>AD10</f>
        <v>0.27853938350129803</v>
      </c>
      <c r="DP11" s="163">
        <f>AE10</f>
        <v>585</v>
      </c>
      <c r="DQ11" s="163">
        <f>AF10</f>
        <v>2375.6759999999999</v>
      </c>
      <c r="DR11" s="161">
        <f>AG10</f>
        <v>0.24624570017123548</v>
      </c>
      <c r="DS11" s="162">
        <f>AH10</f>
        <v>11.050757754427568</v>
      </c>
      <c r="DT11" s="160" t="s">
        <v>50</v>
      </c>
      <c r="DU11" s="166">
        <f t="shared" ref="DU11:DY12" si="39">AJ10</f>
        <v>0.87654545454545463</v>
      </c>
      <c r="DV11" s="163">
        <f t="shared" si="39"/>
        <v>1551</v>
      </c>
      <c r="DW11" s="163">
        <f t="shared" si="39"/>
        <v>1774</v>
      </c>
      <c r="DX11" s="161">
        <f t="shared" si="39"/>
        <v>0.87429537767756482</v>
      </c>
      <c r="DY11" s="162">
        <f t="shared" si="39"/>
        <v>12.467912718384687</v>
      </c>
      <c r="DZ11" s="160" t="s">
        <v>50</v>
      </c>
      <c r="EA11" s="166">
        <f t="shared" ref="EA11:EE12" si="40">AP10</f>
        <v>0.37081494167489631</v>
      </c>
      <c r="EB11" s="163">
        <f t="shared" si="40"/>
        <v>1681</v>
      </c>
      <c r="EC11" s="163">
        <f t="shared" si="40"/>
        <v>5360.4030000000002</v>
      </c>
      <c r="ED11" s="161">
        <f t="shared" si="40"/>
        <v>0.31359582479153153</v>
      </c>
      <c r="EE11" s="162">
        <f t="shared" si="40"/>
        <v>10.571170061779416</v>
      </c>
      <c r="EF11" s="160" t="s">
        <v>50</v>
      </c>
      <c r="EG11" s="166">
        <f t="shared" ref="EG11:EK12" si="41">AV10</f>
        <v>0.66863905325443784</v>
      </c>
      <c r="EH11" s="163">
        <f t="shared" si="41"/>
        <v>37</v>
      </c>
      <c r="EI11" s="163">
        <f t="shared" si="41"/>
        <v>58</v>
      </c>
      <c r="EJ11" s="161">
        <f t="shared" si="41"/>
        <v>0.63793103448275867</v>
      </c>
      <c r="EK11" s="162">
        <f t="shared" si="41"/>
        <v>11.925923100396705</v>
      </c>
      <c r="EL11" s="160" t="s">
        <v>50</v>
      </c>
      <c r="EM11" s="166">
        <f t="shared" ref="EM11:EQ12" si="42">BI10</f>
        <v>1</v>
      </c>
      <c r="EN11" s="163">
        <f t="shared" si="42"/>
        <v>0</v>
      </c>
      <c r="EO11" s="163">
        <f t="shared" si="42"/>
        <v>0</v>
      </c>
      <c r="EP11" s="161">
        <f t="shared" si="42"/>
        <v>1</v>
      </c>
      <c r="EQ11" s="162">
        <f t="shared" si="42"/>
        <v>6.25</v>
      </c>
    </row>
    <row r="12" spans="1:148" ht="12.75" outlineLevel="2" x14ac:dyDescent="0.2">
      <c r="A12" s="156" t="s">
        <v>10</v>
      </c>
      <c r="B12" s="46" t="s">
        <v>52</v>
      </c>
      <c r="C12" s="46" t="s">
        <v>69</v>
      </c>
      <c r="D12" s="45"/>
      <c r="E12" s="21">
        <v>0.9</v>
      </c>
      <c r="F12" s="177">
        <f>SUM('[1]117435'!$J$26:$M$26)+SUM('[1]117435'!$J$28:$M$28)+SUM('[1]117436'!$J$26:$M$26)+SUM('[1]117436'!$J$28:$M$28)+SUM('[1]117437'!$J$26:$M$26)+SUM('[1]117437'!$J$28:$M$28)+SUM('[1]117438'!$J$26:$M$26)+SUM('[1]117438'!$J$28:$M$28)+SUM('[1]117457'!$J$26:$M$26)+SUM('[1]117457'!$J$28:$M$28)+SUM('[1]117473'!$J$26:$M$26)+SUM('[1]117473'!$J$28:$M$28)+SUM('[1]117474'!$J$26:$M$26)+SUM('[1]117474'!$J$28:$M$28)+SUM('[1]117475'!$J$26:$M$26)+SUM('[1]117475'!$J$28:$M$28)+SUM('[1]117476'!$J$26:$M$26)+SUM('[1]117476'!$J$28:$M$28)+SUM('[1]117477'!$J$26:$M$26)+SUM('[1]117477'!$J$28:$M$28)</f>
        <v>0</v>
      </c>
      <c r="G12" s="177">
        <f>SUM('[2]117435'!$J$22:$M$22)+SUM('[3]117435'!$J$22:$M$22)+SUM('[4]117435'!$J$22:$M$22)+SUM('[1]117435'!$J$23:$M$23)+SUM('[2]117436'!$J$22:$M$22)+SUM('[3]117436'!$J$22:$M$22)+SUM('[4]117436'!$J$22:$M$22)+SUM('[1]117436'!$J$23:$M$23)+SUM('[2]117437'!$J$22:$M$22)+SUM('[3]117437'!$J$22:$M$22)+SUM('[4]117437'!$J$22:$M$22)+SUM('[1]117437'!$J$23:$M$23)+SUM('[2]117438'!$J$22:$M$22)+SUM('[3]117438'!$J$22:$M$22)+SUM('[4]117438'!$J$22:$M$22)+SUM('[1]117438'!$J$23:$M$23)+SUM('[2]117457'!$J$22:$M$22)+SUM('[3]117457'!$J$22:$M$22)+SUM('[4]117457'!$J$22:$M$22)+SUM('[1]117457'!$J$23:$M$23)+SUM('[2]117473'!$J$22:$M$22)+SUM('[3]117473'!$J$22:$M$22)+SUM('[4]117473'!$J$22:$M$22)+SUM('[1]117473'!$J$23:$M$23)+SUM('[2]117474'!$J$22:$M$22)+SUM('[3]117474'!$J$22:$M$22)+SUM('[4]117474'!$J$22:$M$22)+SUM('[1]117474'!$J$23:$M$23)+SUM('[2]117475'!$J$22:$M$22)+SUM('[3]117475'!$J$22:$M$22)+SUM('[4]117475'!$J$22:$M$22)+SUM('[1]117475'!$J$23:$M$23) + SUM('[2]117476'!$J$22:$M$22)+SUM('[3]117476'!$J$22:$M$22)+SUM('[4]117476'!$J$22:$M$22)+SUM('[1]117476'!$J$23:$M$23) + SUM('[2]117477'!$J$22:$M$22)+SUM('[3]117477'!$J$22:$M$22)+SUM('[4]117477'!$J$22:$M$22)+SUM('[1]117477'!$J$23:$M$23)-(SUM('[2]117435'!$J$39:$M$39)+SUM('[3]117435'!$J$39:$M$39)+SUM('[4]117435'!$J$39:$M$39)+SUM('[1]117435'!$J$40:$M$40)+SUM('[2]117436'!$J$39:$M$39)+SUM('[3]117436'!$J$39:$M$39)+SUM('[4]117436'!$J$39:$M$39)+SUM('[1]117436'!$J$40:$M$40)+SUM('[2]117437'!$J$39:$M$39)+SUM('[3]117437'!$J$39:$M$39)+SUM('[4]117437'!$J$39:$M$39)+SUM('[1]117437'!$J$40:$M$40)+SUM('[2]117438'!$J$39:$M$39))</f>
        <v>0</v>
      </c>
      <c r="H12" s="144">
        <f t="shared" si="0"/>
        <v>1</v>
      </c>
      <c r="I12" s="143">
        <f t="shared" si="1"/>
        <v>12.5</v>
      </c>
      <c r="J12" s="37"/>
      <c r="K12" s="23">
        <v>0.9</v>
      </c>
      <c r="L12" s="198">
        <f>SUM('[5]117435'!$B$11:$B$18)+SUM('[5]117436'!$B$11:$B$18)+SUM('[5]117437'!$B$11:$B$18)+SUM('[5]117438'!$B$11:$B$18)+SUM('[5]117457'!$B$11:$B$18)+SUM('[5]117473'!$B$11:$B$18)+SUM('[5]117474'!$B$11:$B$18)+SUM('[5]117475'!$B$11:$B$18)+SUM('[5]117476'!$B$11:$B$18)+SUM('[5]117477'!$B$11:$B$18)</f>
        <v>698</v>
      </c>
      <c r="M12" s="175">
        <v>775.7</v>
      </c>
      <c r="N12" s="142">
        <f t="shared" si="2"/>
        <v>0.89983240943663778</v>
      </c>
      <c r="O12" s="143">
        <f t="shared" si="3"/>
        <v>12.497672353286635</v>
      </c>
      <c r="P12" s="37"/>
      <c r="Q12" s="183">
        <v>0.41</v>
      </c>
      <c r="R12" s="140">
        <f>SUM('[1]117435'!$F$205:$Y$205)+SUM('[1]117436'!$F$205:$Y$205)+SUM('[1]117437'!$F$205:$Y$205)+SUM('[1]117438'!$F$205:$Y$205)+SUM('[1]117457'!$F$205:$Y$205)+SUM('[1]117473'!$F$205:$Y$205)+SUM('[1]117474'!$F$205:$Y$205)+SUM('[1]117475'!$F$205:$Y$205)+SUM('[1]117476'!$F$205:$Y$205)+SUM('[1]117477'!$F$205:$Y$205)</f>
        <v>341</v>
      </c>
      <c r="S12" s="175">
        <v>269</v>
      </c>
      <c r="T12" s="142">
        <f t="shared" si="4"/>
        <v>1.2676579925650557</v>
      </c>
      <c r="U12" s="143">
        <f t="shared" si="29"/>
        <v>6.25</v>
      </c>
      <c r="V12" s="37"/>
      <c r="W12" s="183">
        <v>0.16</v>
      </c>
      <c r="X12" s="140">
        <f>SUM('[6]117435'!$S$48+'[6]117435'!$T$48)+SUM('[6]117436'!$S$48+'[6]117436'!$T$48)+SUM('[6]117437'!$S$48+'[6]117437'!$T$48)+SUM('[6]117438'!$S$48+'[6]117438'!$T$48)+SUM('[6]117457'!$S$48+'[6]117457'!$T$48)+SUM('[6]117473'!$S$48+'[6]117473'!$T$48)+SUM('[6]117474'!$S$48+'[6]117474'!$T$48)+SUM('[6]117475'!$S$48+'[6]117475'!$T$48)+SUM('[6]117476'!$S$48+'[6]117476'!$T$48)+SUM('[6]117477'!$S$48+'[6]117477'!$T$48)</f>
        <v>19</v>
      </c>
      <c r="Y12" s="175">
        <v>33</v>
      </c>
      <c r="Z12" s="142">
        <f t="shared" si="30"/>
        <v>0.5757575757575758</v>
      </c>
      <c r="AA12" s="143">
        <f t="shared" si="5"/>
        <v>6.25</v>
      </c>
      <c r="AB12" s="43">
        <f t="shared" si="31"/>
        <v>12.5</v>
      </c>
      <c r="AC12" s="37"/>
      <c r="AD12" s="183">
        <v>0.27692868090720368</v>
      </c>
      <c r="AE12" s="175">
        <f>'[7]117435'!$C$36+'[7]117435'!$C$37+'[7]117436'!$C$36+'[7]117436'!$C$37+'[7]117437'!$C$36+'[7]117437'!$C$37+'[7]117438'!$C$36+'[7]117438'!$C$37+'[7]117457'!$C$36+'[7]117457'!$C$37+'[7]117473'!$C$36+'[7]117473'!$C$37+'[7]117474'!$C$36+'[7]117474'!$C$37+'[7]117475'!$C$36+'[7]117475'!$C$37+'[7]117476'!$C$36+'[7]117476'!$C$37+'[7]117477'!$C$36+'[7]117477'!$C$37</f>
        <v>145</v>
      </c>
      <c r="AF12" s="175">
        <v>531.05400000000009</v>
      </c>
      <c r="AG12" s="142">
        <f t="shared" si="6"/>
        <v>0.27304191287515012</v>
      </c>
      <c r="AH12" s="143">
        <f t="shared" si="7"/>
        <v>12.324559159991992</v>
      </c>
      <c r="AI12" s="37"/>
      <c r="AJ12" s="183">
        <v>0.89131578947368417</v>
      </c>
      <c r="AK12" s="175">
        <f>'[7]117435'!$C$63+'[7]117435'!$C$64+'[7]117435'!$C$61+'[7]117435'!$C$62+'[7]117436'!$C$63+'[7]117436'!$C$64+'[7]117436'!$C$61+'[7]117436'!$C$62+'[7]117437'!$C$63+'[7]117437'!$C$64+'[7]117437'!$C$61+'[7]117437'!$C$62+'[7]117438'!$C$63+'[7]117438'!$C$64+'[7]117438'!$C$61+'[7]117438'!$C$62+'[7]117457'!$C$63+'[7]117457'!$C$64+'[7]117457'!$C$61+'[7]117457'!$C$62+'[7]117473'!$C$63+'[7]117473'!$C$64+'[7]117473'!$C$61+'[7]117473'!$C$62+'[7]117474'!$C$63+'[7]117474'!$C$64+'[7]117474'!$C$61+'[7]117474'!$C$62+'[7]117475'!$C$63+'[7]117475'!$C$64+'[7]117475'!$C$61+'[7]117475'!$C$62+'[7]117476'!$C$63+'[7]117476'!$C$64+'[7]117476'!$C$61+'[7]117476'!$C$62+'[7]117477'!$C$63+'[7]117477'!$C$64+'[7]117477'!$C$61+'[7]117477'!$C$62</f>
        <v>301</v>
      </c>
      <c r="AL12" s="175">
        <f>'[7]117435'!$C$17+'[7]117436'!$C$17+'[7]117437'!$C$17+'[7]117438'!$C$17+'[7]117457'!$C$17+'[7]117473'!$C$17+'[7]117474'!$C$17+'[7]117475'!$C$17+'[7]117476'!$C$17+'[7]117477'!$C$17</f>
        <v>379</v>
      </c>
      <c r="AM12" s="142">
        <f t="shared" si="8"/>
        <v>0.79419525065963059</v>
      </c>
      <c r="AN12" s="143">
        <f t="shared" si="9"/>
        <v>11.137961147426175</v>
      </c>
      <c r="AO12" s="37"/>
      <c r="AP12" s="183">
        <v>0.43017243885383849</v>
      </c>
      <c r="AQ12" s="140">
        <f>'[7]117435'!$C$35+'[7]117435'!$C$34+'[7]117436'!$C$35+'[7]117436'!$C$34+'[7]117437'!$C$35+'[7]117437'!$C$34+'[7]117438'!$C$35+'[7]117438'!$C$34+'[7]117457'!$C$35+'[7]117457'!$C$34+'[7]117473'!$C$35+'[7]117473'!$C$34+'[7]117474'!$C$35+'[7]117474'!$C$34+'[7]117475'!$C$35+'[7]117475'!$C$34+'[7]117476'!$C$35+'[7]117476'!$C$34+'[7]117477'!$C$35+'[7]117477'!$C$34</f>
        <v>448</v>
      </c>
      <c r="AR12" s="175">
        <v>1179.5060000000001</v>
      </c>
      <c r="AS12" s="142">
        <f t="shared" si="10"/>
        <v>0.37982002635001433</v>
      </c>
      <c r="AT12" s="143">
        <f t="shared" si="11"/>
        <v>11.036853830117979</v>
      </c>
      <c r="AU12" s="37"/>
      <c r="AV12" s="183">
        <v>0.7</v>
      </c>
      <c r="AW12" s="140">
        <f>SUM('[1]117435'!$H$61)+SUM('[1]117436'!$H$61)+SUM('[1]117437'!$H$61)+SUM('[1]117438'!$H$61)+SUM('[1]117457'!$H$61)+SUM('[1]117473'!$H$61)+SUM('[1]117474'!$H$61)+SUM('[1]117475'!$H$61)+SUM('[1]117476'!$H$61)+SUM('[1]117477'!$H$61)</f>
        <v>7</v>
      </c>
      <c r="AX12" s="140">
        <f>SUM('[1]117435'!$H$67)+SUM('[1]117436'!$H$67)+SUM('[1]117437'!$H$67)+SUM('[1]117438'!$H$67)+SUM('[1]117457'!$H$67)+SUM('[1]117473'!$H$67)+SUM('[1]117474'!$H$67)+SUM('[1]117475'!$H$67)+SUM('[1]117476'!$H$67)+SUM('[1]117477'!$H$67)</f>
        <v>8</v>
      </c>
      <c r="AY12" s="142">
        <f t="shared" si="12"/>
        <v>0.875</v>
      </c>
      <c r="AZ12" s="143">
        <f t="shared" si="13"/>
        <v>12.5</v>
      </c>
      <c r="BA12" s="37"/>
      <c r="BB12" s="23">
        <v>0.1</v>
      </c>
      <c r="BC12" s="175">
        <f>SUM('[8]117435'!$H$59:$AM$59)+SUM('[8]117435'!$C$63)+SUM('[8]117436'!$H$59:$AM$59)+SUM('[8]117436'!$C$63)+SUM('[8]117437'!$H$59:$AM$59)+SUM('[8]117437'!$C$63)+SUM('[8]117438'!$H$59:$AM$59)+SUM('[8]117438'!$C$63)+SUM('[8]117457'!$H$59:$AM$59)+SUM('[8]117457'!$C$63)+SUM('[8]117473'!$H$59:$AM$59)+SUM('[8]117473'!$C$63)+SUM('[8]117474'!$H$59:$AM$59)+SUM('[8]117474'!$C$63)+SUM('[8]117475'!$H$59:$AM$59)+SUM('[8]117475'!$C$63)+SUM('[8]117476'!$H$59:$AM$59)+SUM('[8]117476'!$C$63)+SUM('[8]117477'!$H$59:$AM$59)+SUM('[8]117477'!$C$63)</f>
        <v>87</v>
      </c>
      <c r="BD12" s="175">
        <v>729</v>
      </c>
      <c r="BE12" s="142">
        <f t="shared" si="32"/>
        <v>0.11934156378600823</v>
      </c>
      <c r="BF12" s="143">
        <f t="shared" si="33"/>
        <v>6.25</v>
      </c>
      <c r="BG12" s="37"/>
      <c r="BH12" s="37"/>
      <c r="BI12" s="23">
        <v>1</v>
      </c>
      <c r="BJ12" s="140"/>
      <c r="BK12" s="140"/>
      <c r="BL12" s="142">
        <f t="shared" si="14"/>
        <v>1</v>
      </c>
      <c r="BM12" s="143">
        <f t="shared" si="15"/>
        <v>6.25</v>
      </c>
      <c r="BN12" s="42"/>
      <c r="BO12" s="22"/>
      <c r="BP12" s="141">
        <f t="shared" si="16"/>
        <v>96.997046490822768</v>
      </c>
      <c r="BQ12" s="41" t="str">
        <f t="shared" si="17"/>
        <v>Tramo 1: 100% C. Variable</v>
      </c>
      <c r="BR12" s="69">
        <v>90</v>
      </c>
      <c r="CO12" s="160" t="s">
        <v>51</v>
      </c>
      <c r="CP12" s="161">
        <f t="shared" si="35"/>
        <v>0.9</v>
      </c>
      <c r="CQ12" s="173">
        <f t="shared" si="35"/>
        <v>5</v>
      </c>
      <c r="CR12" s="173">
        <f t="shared" si="35"/>
        <v>7</v>
      </c>
      <c r="CS12" s="161">
        <f t="shared" si="35"/>
        <v>0.7142857142857143</v>
      </c>
      <c r="CT12" s="162">
        <f t="shared" si="35"/>
        <v>9.9206349206349209</v>
      </c>
      <c r="CU12" s="160" t="s">
        <v>51</v>
      </c>
      <c r="CV12" s="161">
        <f t="shared" si="36"/>
        <v>0.9</v>
      </c>
      <c r="CW12" s="163">
        <f t="shared" si="36"/>
        <v>2519</v>
      </c>
      <c r="CX12" s="163">
        <f t="shared" si="36"/>
        <v>2707.62</v>
      </c>
      <c r="CY12" s="161">
        <f t="shared" si="36"/>
        <v>0.9303373442358972</v>
      </c>
      <c r="CZ12" s="162">
        <f t="shared" si="36"/>
        <v>12.5</v>
      </c>
      <c r="DA12" s="160" t="s">
        <v>51</v>
      </c>
      <c r="DB12" s="166">
        <f>Q12</f>
        <v>0.41</v>
      </c>
      <c r="DC12" s="163">
        <f t="shared" si="37"/>
        <v>503</v>
      </c>
      <c r="DD12" s="163">
        <f t="shared" si="37"/>
        <v>1596</v>
      </c>
      <c r="DE12" s="161">
        <f t="shared" si="37"/>
        <v>0.31516290726817042</v>
      </c>
      <c r="DF12" s="162">
        <f t="shared" si="37"/>
        <v>4.8043126107952814</v>
      </c>
      <c r="DG12" s="160" t="s">
        <v>51</v>
      </c>
      <c r="DH12" s="166">
        <f>W10</f>
        <v>0.13390334572490706</v>
      </c>
      <c r="DI12" s="163">
        <f>X11</f>
        <v>25</v>
      </c>
      <c r="DJ12" s="163">
        <f>Y11</f>
        <v>180</v>
      </c>
      <c r="DK12" s="161">
        <f>Z11</f>
        <v>0.1388888888888889</v>
      </c>
      <c r="DL12" s="162">
        <f>AA11</f>
        <v>5.4253472222222223</v>
      </c>
      <c r="DM12" s="165">
        <f>AB10</f>
        <v>10.288496541681834</v>
      </c>
      <c r="DN12" s="160" t="s">
        <v>51</v>
      </c>
      <c r="DO12" s="166">
        <f>AD10</f>
        <v>0.27853938350129803</v>
      </c>
      <c r="DP12" s="163">
        <f>AE11</f>
        <v>440</v>
      </c>
      <c r="DQ12" s="163">
        <f>AF11</f>
        <v>1379.229</v>
      </c>
      <c r="DR12" s="161">
        <f>AG11</f>
        <v>0.31901881413456357</v>
      </c>
      <c r="DS12" s="162">
        <f>AH11</f>
        <v>11.981761285892023</v>
      </c>
      <c r="DT12" s="160" t="s">
        <v>51</v>
      </c>
      <c r="DU12" s="166">
        <f t="shared" si="39"/>
        <v>0.87625922023182301</v>
      </c>
      <c r="DV12" s="163">
        <f t="shared" si="39"/>
        <v>910</v>
      </c>
      <c r="DW12" s="163">
        <f t="shared" si="39"/>
        <v>1061</v>
      </c>
      <c r="DX12" s="161">
        <f t="shared" si="39"/>
        <v>0.85768143261074459</v>
      </c>
      <c r="DY12" s="162">
        <f t="shared" si="39"/>
        <v>12.234984420247191</v>
      </c>
      <c r="DZ12" s="160" t="s">
        <v>51</v>
      </c>
      <c r="EA12" s="166">
        <f t="shared" si="40"/>
        <v>0.4152398501755491</v>
      </c>
      <c r="EB12" s="163">
        <f t="shared" si="40"/>
        <v>1051</v>
      </c>
      <c r="EC12" s="163">
        <f t="shared" si="40"/>
        <v>3102.212</v>
      </c>
      <c r="ED12" s="161">
        <f t="shared" si="40"/>
        <v>0.3387905146392316</v>
      </c>
      <c r="EE12" s="162">
        <f t="shared" si="40"/>
        <v>10.198639247172526</v>
      </c>
      <c r="EF12" s="160" t="s">
        <v>51</v>
      </c>
      <c r="EG12" s="166">
        <f t="shared" si="41"/>
        <v>0.47760000000000002</v>
      </c>
      <c r="EH12" s="163">
        <f t="shared" si="41"/>
        <v>32</v>
      </c>
      <c r="EI12" s="163">
        <f t="shared" si="41"/>
        <v>64</v>
      </c>
      <c r="EJ12" s="161">
        <f t="shared" si="41"/>
        <v>0.5</v>
      </c>
      <c r="EK12" s="162">
        <f t="shared" si="41"/>
        <v>12.5</v>
      </c>
      <c r="EL12" s="160" t="s">
        <v>51</v>
      </c>
      <c r="EM12" s="166">
        <f t="shared" si="42"/>
        <v>1</v>
      </c>
      <c r="EN12" s="163">
        <f t="shared" si="42"/>
        <v>0</v>
      </c>
      <c r="EO12" s="163">
        <f t="shared" si="42"/>
        <v>0</v>
      </c>
      <c r="EP12" s="161">
        <f t="shared" si="42"/>
        <v>1</v>
      </c>
      <c r="EQ12" s="162">
        <f t="shared" si="42"/>
        <v>6.25</v>
      </c>
      <c r="ER12" s="169" t="s">
        <v>194</v>
      </c>
    </row>
    <row r="13" spans="1:148" ht="12.75" outlineLevel="2" x14ac:dyDescent="0.2">
      <c r="A13" s="156" t="s">
        <v>13</v>
      </c>
      <c r="B13" s="46" t="s">
        <v>34</v>
      </c>
      <c r="C13" s="46" t="s">
        <v>69</v>
      </c>
      <c r="D13" s="45"/>
      <c r="E13" s="21">
        <v>0.9</v>
      </c>
      <c r="F13" s="177">
        <f>SUM('[1]117310'!$J$26:$M$26)+SUM('[1]117310'!$J$28:$M$28)+SUM('[1]117430'!$J$26:$M$26)+SUM('[1]117430'!$J$28:$M$28)+SUM('[1]117431'!$J$26:$M$26)+SUM('[1]117431'!$J$28:$M$28)</f>
        <v>2</v>
      </c>
      <c r="G13" s="177">
        <f>SUM('[2]117310'!$J$22:$M$22)+SUM('[3]117310'!$J$22:$M$22)+SUM('[4]117310'!$J$22:$M$22)+SUM('[1]117310'!$J$23:$M$23) + SUM('[2]117430'!$J$22:$M$22)+SUM('[3]117430'!$J$22:$M$22)+SUM('[4]117430'!$J$22:$M$22)+SUM('[1]117430'!$J$23:$M$23) + SUM('[2]117431'!$J$22:$M$22)+SUM('[3]117431'!$J$22:$M$22)+SUM('[4]117431'!$J$22:$M$22)+SUM('[1]117431'!$J$23:$M$23)-(SUM('[2]117310'!$J$39:$M$39)+SUM('[3]117310'!$J$39:$M$39)+SUM('[4]117310'!$J$39:$M$39)+SUM('[1]117310'!$J$40:$M$40) + SUM('[2]117430'!$J$39:$M$39)+SUM('[3]117430'!$J$39:$M$39)+SUM('[4]117430'!$J$39:$M$39)+SUM('[1]117430'!$J$40:$M$40) + SUM('[2]117431'!$J$39:$M$39)+SUM('[3]117431'!$J$39:$M$39)+SUM('[4]117431'!$J$39:$M$39)+SUM('[1]117431'!$J$40:$M$40))</f>
        <v>6</v>
      </c>
      <c r="H13" s="144">
        <f t="shared" si="0"/>
        <v>0.33333333333333331</v>
      </c>
      <c r="I13" s="143">
        <f t="shared" si="1"/>
        <v>4.6296296296296298</v>
      </c>
      <c r="J13" s="37"/>
      <c r="K13" s="23">
        <v>0.9</v>
      </c>
      <c r="L13" s="198">
        <f>SUM('[5]117310'!$B$11:$B$18)+SUM('[5]117430'!$B$11:$B$18)+SUM('[5]117431'!$B$11:$B$18)</f>
        <v>1496</v>
      </c>
      <c r="M13" s="175">
        <v>1598.6</v>
      </c>
      <c r="N13" s="142">
        <f t="shared" si="2"/>
        <v>0.93581884148630057</v>
      </c>
      <c r="O13" s="143">
        <f t="shared" si="3"/>
        <v>12.5</v>
      </c>
      <c r="P13" s="37"/>
      <c r="Q13" s="183">
        <v>0.41</v>
      </c>
      <c r="R13" s="140">
        <f>SUM('[1]117310'!$F$205:$Y$205)+SUM('[1]117430'!$F$205:$Y$205)+SUM('[1]117431'!$F$205:$Y$205)</f>
        <v>286</v>
      </c>
      <c r="S13" s="175">
        <v>920</v>
      </c>
      <c r="T13" s="142">
        <f t="shared" si="4"/>
        <v>0.31086956521739129</v>
      </c>
      <c r="U13" s="143">
        <f t="shared" si="29"/>
        <v>4.7388653234358431</v>
      </c>
      <c r="V13" s="37"/>
      <c r="W13" s="183">
        <v>0.16</v>
      </c>
      <c r="X13" s="140">
        <f>SUM('[6]117310'!$S$48+'[6]117310'!$T$48)+SUM('[6]117430'!$S$48+'[6]117430'!$T$48)+SUM('[6]117431'!$S$48+'[6]117431'!$T$48)</f>
        <v>6</v>
      </c>
      <c r="Y13" s="175">
        <v>107</v>
      </c>
      <c r="Z13" s="142">
        <f t="shared" si="30"/>
        <v>5.6074766355140186E-2</v>
      </c>
      <c r="AA13" s="143">
        <f t="shared" si="5"/>
        <v>2.1904205607476634</v>
      </c>
      <c r="AB13" s="43">
        <f t="shared" si="31"/>
        <v>6.929285884183507</v>
      </c>
      <c r="AC13" s="37"/>
      <c r="AD13" s="183">
        <v>0.37970159921379432</v>
      </c>
      <c r="AE13" s="175">
        <f>'[7]117310'!$C$36+'[7]117310'!$C$37+'[7]117430'!$C$36+'[7]117430'!$C$37+'[7]117431'!$C$36+'[7]117431'!$C$37</f>
        <v>421</v>
      </c>
      <c r="AF13" s="175">
        <v>1062.6089999999999</v>
      </c>
      <c r="AG13" s="142">
        <f t="shared" si="6"/>
        <v>0.39619464920775188</v>
      </c>
      <c r="AH13" s="143">
        <f t="shared" si="7"/>
        <v>12.5</v>
      </c>
      <c r="AI13" s="37"/>
      <c r="AJ13" s="183">
        <v>0.9</v>
      </c>
      <c r="AK13" s="175">
        <f>'[7]117310'!$C$63+'[7]117310'!$C$64+'[7]117310'!$C$61+'[7]117310'!$C$62+'[7]117430'!$C$63+'[7]117430'!$C$64+'[7]117430'!$C$61+'[7]117430'!$C$62+'[7]117431'!$C$63+'[7]117431'!$C$64+'[7]117431'!$C$61+'[7]117431'!$C$62</f>
        <v>709</v>
      </c>
      <c r="AL13" s="175">
        <f>'[7]117310'!$C$17+'[7]117430'!$C$17+'[7]117431'!$C$17</f>
        <v>889</v>
      </c>
      <c r="AM13" s="142">
        <f t="shared" si="8"/>
        <v>0.79752530933633292</v>
      </c>
      <c r="AN13" s="143">
        <f t="shared" si="9"/>
        <v>11.076740407449067</v>
      </c>
      <c r="AO13" s="37"/>
      <c r="AP13" s="183">
        <v>0.52425366369703341</v>
      </c>
      <c r="AQ13" s="140">
        <f>'[7]117310'!$C$35+'[7]117310'!$C$34+'[7]117430'!$C$35+'[7]117430'!$C$34+'[7]117431'!$C$35+'[7]117431'!$C$34</f>
        <v>1253</v>
      </c>
      <c r="AR13" s="175">
        <v>2420.393</v>
      </c>
      <c r="AS13" s="142">
        <f t="shared" si="10"/>
        <v>0.51768452478585092</v>
      </c>
      <c r="AT13" s="143">
        <f t="shared" si="11"/>
        <v>12.343369265537007</v>
      </c>
      <c r="AU13" s="37"/>
      <c r="AV13" s="183">
        <v>0.7</v>
      </c>
      <c r="AW13" s="140">
        <f>SUM('[1]117310'!$H$61)+SUM('[1]117430'!$H$61)+SUM('[1]117431'!$H$61)</f>
        <v>12</v>
      </c>
      <c r="AX13" s="140">
        <f>SUM('[1]117310'!$H$67)+SUM('[1]117430'!$H$67)+SUM('[1]117431'!$H$67)</f>
        <v>25</v>
      </c>
      <c r="AY13" s="142">
        <f t="shared" si="12"/>
        <v>0.48</v>
      </c>
      <c r="AZ13" s="143">
        <f t="shared" si="13"/>
        <v>8.5714285714285712</v>
      </c>
      <c r="BA13" s="37"/>
      <c r="BB13" s="23">
        <v>0.1</v>
      </c>
      <c r="BC13" s="175">
        <f>SUM('[8]117310'!$H$59:$AM$59)+SUM('[8]117310'!$C$63)+SUM('[8]117430'!$H$59:$AM$59)+SUM('[8]117430'!$C$63)+SUM('[8]117431'!$H$59:$AM$59)+SUM('[8]117431'!$C$63)</f>
        <v>398</v>
      </c>
      <c r="BD13" s="175">
        <v>1380</v>
      </c>
      <c r="BE13" s="142">
        <f t="shared" si="32"/>
        <v>0.28840579710144926</v>
      </c>
      <c r="BF13" s="143">
        <f t="shared" si="33"/>
        <v>6.25</v>
      </c>
      <c r="BG13" s="37"/>
      <c r="BH13" s="37"/>
      <c r="BI13" s="23">
        <v>1</v>
      </c>
      <c r="BJ13" s="140"/>
      <c r="BK13" s="140"/>
      <c r="BL13" s="142">
        <f t="shared" si="14"/>
        <v>1</v>
      </c>
      <c r="BM13" s="143">
        <f>IF(BI13="aut",$C$2/2,IF(BL13&gt;=BI13,$C$2/2,0%))</f>
        <v>6.25</v>
      </c>
      <c r="BN13" s="42"/>
      <c r="BO13" s="22"/>
      <c r="BP13" s="141">
        <f t="shared" si="16"/>
        <v>81.050453758227789</v>
      </c>
      <c r="BQ13" s="41" t="str">
        <f t="shared" si="17"/>
        <v>Tramo 2: 50% C. Variable</v>
      </c>
      <c r="BR13" s="69">
        <v>90</v>
      </c>
      <c r="CP13" s="173">
        <f>SUM(CP11:CP12)</f>
        <v>1.8</v>
      </c>
      <c r="CQ13" s="173">
        <f>SUM(CQ11:CQ12)</f>
        <v>5</v>
      </c>
      <c r="CR13" s="173">
        <f>SUM(CR11:CR12)</f>
        <v>13</v>
      </c>
      <c r="CS13" s="170">
        <f>CQ13/CR13</f>
        <v>0.38461538461538464</v>
      </c>
      <c r="CT13" s="162">
        <f>IF(CP13="aut",$C$2,IF(CS13&gt;=CP13,$C$2,((CS13/CP13)*$C$2)))</f>
        <v>2.6709401709401712</v>
      </c>
      <c r="CV13" s="166">
        <v>0.9</v>
      </c>
      <c r="CW13" s="163">
        <f>SUM(CW11:CW12)</f>
        <v>6113</v>
      </c>
      <c r="CX13" s="163">
        <f>SUM(CX11:CX12)</f>
        <v>6718.82</v>
      </c>
      <c r="CY13" s="170">
        <f>CW13/CX13</f>
        <v>0.90983238128123689</v>
      </c>
      <c r="CZ13" s="162">
        <f>IF(CV13="aut",$C$2,IF(CY13&gt;=CV13,$C$2,((CY13/CV13)*$C$2)))</f>
        <v>12.5</v>
      </c>
      <c r="DB13" s="166">
        <f>Q13</f>
        <v>0.41</v>
      </c>
      <c r="DC13" s="163">
        <f>SUM(DC11:DC12)</f>
        <v>1142</v>
      </c>
      <c r="DD13" s="163">
        <f>SUM(DD11:DD12)</f>
        <v>4008</v>
      </c>
      <c r="DE13" s="170">
        <f>DC13/DD13</f>
        <v>0.28493013972055886</v>
      </c>
      <c r="DF13" s="162">
        <f>IF(DB13="aut",$C$2,IF(DE13&gt;=DB13,$C$2,((DE13/DB13)*$C$2/2)))</f>
        <v>4.3434472518377873</v>
      </c>
      <c r="DH13" s="166">
        <f>DI13/DJ13</f>
        <v>0.16666666666666666</v>
      </c>
      <c r="DI13" s="163">
        <f>SUM(DI11:DI12)</f>
        <v>68</v>
      </c>
      <c r="DJ13" s="163">
        <f>SUM(DJ11:DJ12)</f>
        <v>408</v>
      </c>
      <c r="DK13" s="171">
        <f>IFERROR(DH13/DH13,0%)</f>
        <v>1</v>
      </c>
      <c r="DL13" s="165">
        <f>IF(W13="aut",($C$2/2),IF(Z13&gt;=W13,$C$2/2,((Z13/W13)*$C$2/2)))</f>
        <v>2.1904205607476634</v>
      </c>
      <c r="DM13" s="165">
        <f>DF13+DL13</f>
        <v>6.5338678125854504</v>
      </c>
      <c r="DO13" s="166">
        <f>DP13/DQ13</f>
        <v>0.27297628035862426</v>
      </c>
      <c r="DP13" s="163">
        <f>SUM(DP11:DP12)</f>
        <v>1025</v>
      </c>
      <c r="DQ13" s="163">
        <f>SUM(DQ11:DQ12)</f>
        <v>3754.9049999999997</v>
      </c>
      <c r="DR13" s="170">
        <f>DP13/DQ13</f>
        <v>0.27297628035862426</v>
      </c>
      <c r="DS13" s="162">
        <f>IF(DO13="aut",$C$2,IF(DR13&gt;=DO13,$C$2,((DR13/DO13)*$C$2)))</f>
        <v>12.5</v>
      </c>
      <c r="DU13" s="166">
        <v>0.9</v>
      </c>
      <c r="DV13" s="163">
        <f>SUM(DV11:DV12)</f>
        <v>2461</v>
      </c>
      <c r="DW13" s="163">
        <f>SUM(DW11:DW12)</f>
        <v>2835</v>
      </c>
      <c r="DX13" s="170">
        <f>DV13/DW13</f>
        <v>0.86807760141093471</v>
      </c>
      <c r="DY13" s="162">
        <f>IF(DU13="aut",$C$2,IF(DX13&gt;=DU13,$C$2,((DX13/DU13)*$C$2)))</f>
        <v>12.056633352929648</v>
      </c>
      <c r="EA13" s="166">
        <v>0.43</v>
      </c>
      <c r="EB13" s="163">
        <f>SUM(EB11:EB12)</f>
        <v>2732</v>
      </c>
      <c r="EC13" s="163">
        <f>SUM(EC11:EC12)</f>
        <v>8462.6149999999998</v>
      </c>
      <c r="ED13" s="170">
        <f>EB13/EC13</f>
        <v>0.32283165428180299</v>
      </c>
      <c r="EE13" s="162">
        <f>IF(EA13="aut",$C$2,IF(ED13&gt;=EA13,$C$2,((ED13/EA13)*$C$2)))</f>
        <v>9.3846411128431111</v>
      </c>
      <c r="EG13" s="166">
        <v>0.6</v>
      </c>
      <c r="EH13" s="163">
        <f>SUM(EH11:EH12)</f>
        <v>69</v>
      </c>
      <c r="EI13" s="163">
        <f>SUM(EI11:EI12)</f>
        <v>122</v>
      </c>
      <c r="EJ13" s="170">
        <f>EH13/EI13</f>
        <v>0.56557377049180324</v>
      </c>
      <c r="EK13" s="162">
        <f>IF(EG13="aut",$C$2,IF(EJ13&gt;=EG13,$C$2,((EJ13/EG13)*$C$2)))</f>
        <v>11.782786885245901</v>
      </c>
      <c r="EM13" s="166">
        <v>0.8</v>
      </c>
      <c r="EN13" s="163">
        <f>SUM(EN11:EN12)</f>
        <v>0</v>
      </c>
      <c r="EO13" s="163">
        <f>SUM(EO11:EO12)</f>
        <v>0</v>
      </c>
      <c r="EP13" s="170" t="e">
        <f>EN13/EO13</f>
        <v>#DIV/0!</v>
      </c>
      <c r="EQ13" s="162" t="e">
        <f>IF(EM13="aut",$C$2,IF(EP13&gt;=EM13,$C$2,((EP13/EM13)*$C$2)))</f>
        <v>#DIV/0!</v>
      </c>
      <c r="ER13" s="172" t="e">
        <f>+EQ13+EK13+EE13+DY13+DS13+DM13+CZ13+CT13</f>
        <v>#DIV/0!</v>
      </c>
    </row>
    <row r="14" spans="1:148" ht="15" outlineLevel="2" x14ac:dyDescent="0.25">
      <c r="A14" s="156" t="s">
        <v>14</v>
      </c>
      <c r="B14" s="46" t="s">
        <v>42</v>
      </c>
      <c r="C14" s="46" t="s">
        <v>69</v>
      </c>
      <c r="D14" s="45"/>
      <c r="E14" s="21">
        <v>0.9</v>
      </c>
      <c r="F14" s="177">
        <f>SUM('[1]117317'!$J$26:$M$26)+SUM('[1]117317'!$J$28:$M$28)+SUM('[1]117409'!$J$26:$M$26)+SUM('[1]117409'!$J$28:$M$28)+SUM('[1]117469'!$J$26:$M$26)+SUM('[1]117469'!$J$28:$M$28)</f>
        <v>6</v>
      </c>
      <c r="G14" s="177">
        <f>SUM('[2]117317'!$J$22:$M$22)+SUM('[3]117317'!$J$22:$M$22)+SUM('[4]117317'!$J$22:$M$22)+SUM('[1]117317'!$J$23:$M$23) + SUM('[2]117409'!$J$22:$M$22)+SUM('[3]117409'!$J$22:$M$22)+SUM('[4]117409'!$J$22:$M$22)+SUM('[1]117409'!$J$23:$M$23) + SUM('[2]117469'!$J$22:$M$22)+SUM('[3]117469'!$J$22:$M$22)+SUM('[4]117469'!$J$22:$M$22)+SUM('[1]117469'!$J$23:$M$23)-(SUM('[2]117317'!$J$39:$M$39)+SUM('[3]117317'!$J$39:$M$39)+SUM('[4]117317'!$J$39:$M$39)+SUM('[1]117317'!$J$40:$M$40) + SUM('[2]117409'!$J$39:$M$39)+SUM('[3]117409'!$J$39:$M$39)+SUM('[4]117409'!$J$39:$M$39)+SUM('[1]117409'!$J$40:$M$40) + SUM('[2]117469'!$J$39:$M$39)+SUM('[3]117469'!$J$39:$M$39)+SUM('[4]117469'!$J$39:$M$39)+SUM('[1]117469'!$J$40:$M$40))</f>
        <v>10</v>
      </c>
      <c r="H14" s="144">
        <f t="shared" si="0"/>
        <v>0.6</v>
      </c>
      <c r="I14" s="143">
        <f t="shared" si="1"/>
        <v>8.3333333333333321</v>
      </c>
      <c r="J14" s="37"/>
      <c r="K14" s="23">
        <v>0.9</v>
      </c>
      <c r="L14" s="198">
        <f>SUM('[5]117317'!$B$11:$B$18)+SUM('[5]117409'!$B$11:$B$18)+SUM('[5]117469'!$B$11:$B$18)</f>
        <v>2712</v>
      </c>
      <c r="M14" s="175">
        <v>2834.2400000000002</v>
      </c>
      <c r="N14" s="142">
        <f t="shared" si="2"/>
        <v>0.95687027210116282</v>
      </c>
      <c r="O14" s="143">
        <f t="shared" si="3"/>
        <v>12.5</v>
      </c>
      <c r="P14" s="37"/>
      <c r="Q14" s="183">
        <v>0.41</v>
      </c>
      <c r="R14" s="140">
        <f>SUM('[1]117317'!$F$205:$Y$205)+SUM('[1]117409'!$F$205:$Y$205)+SUM('[1]117469'!$F$205:$Y$205)</f>
        <v>379</v>
      </c>
      <c r="S14" s="175">
        <v>1275</v>
      </c>
      <c r="T14" s="142">
        <f t="shared" si="4"/>
        <v>0.2972549019607843</v>
      </c>
      <c r="U14" s="143">
        <f t="shared" si="29"/>
        <v>4.5313247250119559</v>
      </c>
      <c r="V14" s="37"/>
      <c r="W14" s="183">
        <v>0.16</v>
      </c>
      <c r="X14" s="140">
        <f>SUM('[6]117317'!$S$48+'[6]117317'!$T$48)+SUM('[6]117409'!$S$48+'[6]117409'!$T$48)+SUM('[6]117469'!$S$48+'[6]117469'!$T$48)</f>
        <v>10</v>
      </c>
      <c r="Y14" s="175">
        <v>130</v>
      </c>
      <c r="Z14" s="142">
        <f t="shared" si="30"/>
        <v>7.6923076923076927E-2</v>
      </c>
      <c r="AA14" s="143">
        <f t="shared" si="5"/>
        <v>3.0048076923076925</v>
      </c>
      <c r="AB14" s="43">
        <f t="shared" si="31"/>
        <v>7.5361324173196484</v>
      </c>
      <c r="AC14" s="37"/>
      <c r="AD14" s="183">
        <v>0.2809247166756611</v>
      </c>
      <c r="AE14" s="175">
        <f>'[7]117317'!$C$36+'[7]117317'!$C$37+'[7]117409'!$C$36+'[7]117409'!$C$37+'[7]117469'!$C$36+'[7]117469'!$C$37</f>
        <v>474</v>
      </c>
      <c r="AF14" s="175">
        <v>1628.703</v>
      </c>
      <c r="AG14" s="142">
        <f t="shared" si="6"/>
        <v>0.29102911948955701</v>
      </c>
      <c r="AH14" s="143">
        <f t="shared" si="7"/>
        <v>12.5</v>
      </c>
      <c r="AI14" s="37"/>
      <c r="AJ14" s="183">
        <v>0.89352290679304902</v>
      </c>
      <c r="AK14" s="175">
        <f>'[7]117317'!$C$63+'[7]117317'!$C$64+'[7]117317'!$C$61+'[7]117317'!$C$62+'[7]117409'!$C$63+'[7]117409'!$C$64+'[7]117409'!$C$61+'[7]117409'!$C$62+'[7]117469'!$C$63+'[7]117469'!$C$64+'[7]117469'!$C$61+'[7]117469'!$C$62</f>
        <v>1183</v>
      </c>
      <c r="AL14" s="175">
        <f>'[7]117317'!$C$17+'[7]117409'!$C$17+'[7]117469'!$C$17</f>
        <v>1322</v>
      </c>
      <c r="AM14" s="142">
        <f t="shared" si="8"/>
        <v>0.89485627836611192</v>
      </c>
      <c r="AN14" s="143">
        <f t="shared" si="9"/>
        <v>12.5</v>
      </c>
      <c r="AO14" s="37"/>
      <c r="AP14" s="183">
        <v>0.41037653054115364</v>
      </c>
      <c r="AQ14" s="140">
        <f>'[7]117317'!$C$35+'[7]117317'!$C$34+'[7]117409'!$C$35+'[7]117409'!$C$34+'[7]117469'!$C$35+'[7]117469'!$C$34</f>
        <v>1490</v>
      </c>
      <c r="AR14" s="175">
        <v>3714.6330000000003</v>
      </c>
      <c r="AS14" s="142">
        <f t="shared" si="10"/>
        <v>0.40111634177589006</v>
      </c>
      <c r="AT14" s="143">
        <f t="shared" si="11"/>
        <v>12.217936209916404</v>
      </c>
      <c r="AU14" s="37"/>
      <c r="AV14" s="183">
        <v>0.6</v>
      </c>
      <c r="AW14" s="140">
        <f>SUM('[1]117317'!$H$61)+SUM('[1]117409'!$H$61)+SUM('[1]117469'!$H$61)</f>
        <v>25</v>
      </c>
      <c r="AX14" s="140">
        <f>SUM('[1]117317'!$H$67)+SUM('[1]117409'!$H$67)+SUM('[1]117469'!$H$67)</f>
        <v>49</v>
      </c>
      <c r="AY14" s="142">
        <f t="shared" si="12"/>
        <v>0.51020408163265307</v>
      </c>
      <c r="AZ14" s="143">
        <f t="shared" si="13"/>
        <v>10.629251700680273</v>
      </c>
      <c r="BA14" s="37"/>
      <c r="BB14" s="23">
        <v>0.1</v>
      </c>
      <c r="BC14" s="175">
        <f>SUM('[8]117317'!$H$59:$AM$59)+SUM('[8]117317'!$C$63)+SUM('[8]117409'!$H$59:$AM$59)+SUM('[8]117409'!$C$63)+SUM('[8]117469'!$H$59:$AM$59)+SUM('[8]117469'!$C$63)</f>
        <v>438</v>
      </c>
      <c r="BD14" s="175">
        <v>2100</v>
      </c>
      <c r="BE14" s="142">
        <f t="shared" si="32"/>
        <v>0.20857142857142857</v>
      </c>
      <c r="BF14" s="143">
        <f t="shared" si="33"/>
        <v>6.25</v>
      </c>
      <c r="BG14" s="37"/>
      <c r="BH14" s="37"/>
      <c r="BI14" s="23">
        <v>1</v>
      </c>
      <c r="BJ14" s="140"/>
      <c r="BK14" s="140"/>
      <c r="BL14" s="142">
        <f t="shared" si="14"/>
        <v>1</v>
      </c>
      <c r="BM14" s="143">
        <f t="shared" si="15"/>
        <v>6.25</v>
      </c>
      <c r="BN14" s="42"/>
      <c r="BO14" s="22"/>
      <c r="BP14" s="141">
        <f t="shared" ref="BP14:BP20" si="43">+BM14+BF14+AZ14+AT14+AN14+AH14+AB14+O14+I14</f>
        <v>88.716653661249651</v>
      </c>
      <c r="BQ14" s="41" t="str">
        <f t="shared" si="17"/>
        <v>Tramo 2: 50% C. Variable</v>
      </c>
      <c r="BR14" s="69">
        <v>90</v>
      </c>
      <c r="DB14"/>
    </row>
    <row r="15" spans="1:148" ht="15" outlineLevel="2" x14ac:dyDescent="0.25">
      <c r="A15" s="156" t="s">
        <v>16</v>
      </c>
      <c r="B15" s="46" t="s">
        <v>44</v>
      </c>
      <c r="C15" s="46" t="s">
        <v>69</v>
      </c>
      <c r="D15" s="45"/>
      <c r="E15" s="21">
        <v>0.9</v>
      </c>
      <c r="F15" s="177">
        <f>SUM('[1]117306'!$J$26:$M$26)+SUM('[1]117306'!$J$28:$M$28)+SUM('[1]117706'!$J$26:$M$26)+SUM('[1]117706'!$J$28:$M$28)+SUM('[1]117448'!$J$26:$M$26)+SUM('[1]117448'!$J$28:$M$28)+SUM('[1]117449'!$J$26:$M$26)+SUM('[1]117449'!$J$28:$M$28)+SUM('[1]117472'!$J$26:$M$26)+SUM('[1]117472'!$J$28:$M$28)</f>
        <v>8</v>
      </c>
      <c r="G15" s="177">
        <f>SUM('[2]117306'!$J$22:$M$22)+SUM('[3]117306'!$J$22:$M$22)+SUM('[4]117306'!$J$22:$M$22)+SUM('[1]117306'!$J$23:$M$23) + SUM('[2]117706'!$J$22:$M$22)+SUM('[3]117706'!$J$22:$M$22)+SUM('[4]117706'!$J$22:$M$22)+SUM('[1]117706'!$J$23:$M$23) + SUM('[2]117448'!$J$22:$M$22)+SUM('[3]117448'!$J$22:$M$22)+SUM('[4]117448'!$J$22:$M$22)+SUM('[1]117448'!$J$23:$M$23) + SUM('[2]117449'!$J$22:$M$22)+SUM('[3]117449'!$J$22:$M$22)+SUM('[4]117449'!$J$22:$M$22)+SUM('[1]117449'!$J$23:$M$23) + SUM('[2]117472'!$J$22:$M$22)+SUM('[3]117472'!$J$22:$M$22)+SUM('[4]117472'!$J$22:$M$22)+SUM('[1]117472'!$J$23:$M$23)-(SUM('[2]117306'!$J$39:$M$39)+SUM('[3]117306'!$J$39:$M$39)+SUM('[4]117306'!$J$39:$M$39)+SUM('[1]117306'!$J$40:$M$40) + SUM('[2]117706'!$J$39:$M$39)+SUM('[3]117706'!$J$39:$M$39)+SUM('[4]117706'!$J$39:$M$39)+SUM('[1]117706'!$J$40:$M$40) + SUM('[2]117448'!$J$39:$M$39)+SUM('[3]117448'!$J$39:$M$39)+SUM('[4]117448'!$J$39:$M$39)+SUM('[1]117448'!$J$40:$M$40) + SUM('[2]117449'!$J$39:$M$39)+SUM('[3]117449'!$J$39:$M$39)+SUM('[4]117449'!$J$39:$M$39)+SUM('[1]117449'!$J$40:$M$40) + SUM('[2]117472'!$J$39:$M$39)+SUM('[3]117472'!$J$39:$M$39)+SUM('[4]117472'!$J$39:$M$39)+SUM('[1]117472'!$J$40:$M$40))</f>
        <v>15</v>
      </c>
      <c r="H15" s="144">
        <f t="shared" si="0"/>
        <v>0.53333333333333333</v>
      </c>
      <c r="I15" s="143">
        <f>IF(E15="aut",$C$2,IF(H15&gt;=E15,$C$2,((H15/E15)*$C$2)))</f>
        <v>7.4074074074074066</v>
      </c>
      <c r="J15" s="37"/>
      <c r="K15" s="23">
        <v>0.9</v>
      </c>
      <c r="L15" s="198">
        <f>SUM('[5]117306'!$B$11:$B$18)+SUM('[5]117706'!$B$11:$B$18)+SUM('[5]117448'!$B$11:$B$18)+SUM('[5]117449'!$B$11:$B$18)+SUM('[5]117472'!$B$11:$B$18)</f>
        <v>3966</v>
      </c>
      <c r="M15" s="175">
        <v>3878.8</v>
      </c>
      <c r="N15" s="142">
        <f t="shared" si="2"/>
        <v>1.0224811797463131</v>
      </c>
      <c r="O15" s="143">
        <f t="shared" si="3"/>
        <v>12.5</v>
      </c>
      <c r="P15" s="37"/>
      <c r="Q15" s="183">
        <v>0.41</v>
      </c>
      <c r="R15" s="140">
        <f>SUM('[1]117306'!$F$205:$Y$205)+SUM('[1]117706'!$F$205:$Y$205)+SUM('[1]117448'!$F$205:$Y$205)+SUM('[1]117449'!$F$205:$Y$205)+SUM('[1]117472'!$F$205:$Y$205)</f>
        <v>420</v>
      </c>
      <c r="S15" s="175">
        <v>1690</v>
      </c>
      <c r="T15" s="142">
        <f t="shared" si="4"/>
        <v>0.24852071005917159</v>
      </c>
      <c r="U15" s="143">
        <f>IF(Q15="aut",($C$2/2),IF(T15&gt;=Q15,$C$2/2,((T15/Q15)*$C$2/2)))</f>
        <v>3.7884254582190793</v>
      </c>
      <c r="V15" s="37"/>
      <c r="W15" s="183">
        <v>0.157319587628866</v>
      </c>
      <c r="X15" s="140">
        <f>SUM('[6]117306'!$S$48+'[6]117306'!$T$48)+SUM('[6]117706'!$S$48+'[6]117706'!$T$48)+SUM('[6]117448'!$S$48+'[6]117448'!$T$48)+SUM('[6]117449'!$S$48+'[6]117449'!$T$48)+SUM('[6]117472'!$S$48+'[6]117472'!$T$48)</f>
        <v>14</v>
      </c>
      <c r="Y15" s="175">
        <v>206</v>
      </c>
      <c r="Z15" s="142">
        <f t="shared" si="30"/>
        <v>6.7961165048543687E-2</v>
      </c>
      <c r="AA15" s="143">
        <f t="shared" si="5"/>
        <v>2.6999643716041679</v>
      </c>
      <c r="AB15" s="43">
        <f t="shared" si="31"/>
        <v>6.4883898298232472</v>
      </c>
      <c r="AC15" s="37"/>
      <c r="AD15" s="183">
        <v>0.3474154230301823</v>
      </c>
      <c r="AE15" s="175">
        <f>'[7]117306'!$C$36+'[7]117306'!$C$37+'[7]117706'!$C$36+'[7]117706'!$C$37+'[7]117448'!$C$36+'[7]117448'!$C$37+'[7]117449'!$C$36+'[7]117449'!$C$37+'[7]117472'!$C$36+'[7]117472'!$C$37</f>
        <v>809</v>
      </c>
      <c r="AF15" s="175">
        <v>2406.7950000000001</v>
      </c>
      <c r="AG15" s="142">
        <f t="shared" si="6"/>
        <v>0.33613166056934635</v>
      </c>
      <c r="AH15" s="143">
        <f t="shared" si="7"/>
        <v>12.094010451435267</v>
      </c>
      <c r="AI15" s="37"/>
      <c r="AJ15" s="183">
        <v>0.9</v>
      </c>
      <c r="AK15" s="175">
        <f>'[7]117306'!$C$63+'[7]117306'!$C$64+'[7]117306'!$C$61+'[7]117306'!$C$62+'[7]117706'!$C$63+'[7]117706'!$C$64+'[7]117706'!$C$61+'[7]117706'!$C$62+'[7]117448'!$C$63+'[7]117448'!$C$64+'[7]117448'!$C$61+'[7]117448'!$C$62+'[7]117449'!$C$63+'[7]117449'!$C$64+'[7]117449'!$C$61+'[7]117449'!$C$62+'[7]117472'!$C$63+'[7]117472'!$C$64+'[7]117472'!$C$61+'[7]117472'!$C$62</f>
        <v>1984</v>
      </c>
      <c r="AL15" s="175">
        <f>'[7]117306'!$C$17+'[7]117706'!$C$17+'[7]117448'!$C$17+'[7]117449'!$C$17+'[7]117472'!$C$17</f>
        <v>2257</v>
      </c>
      <c r="AM15" s="142">
        <f t="shared" si="8"/>
        <v>0.87904297740363313</v>
      </c>
      <c r="AN15" s="143">
        <f t="shared" si="9"/>
        <v>12.208930241717127</v>
      </c>
      <c r="AO15" s="37"/>
      <c r="AP15" s="183">
        <v>0.42341146995871271</v>
      </c>
      <c r="AQ15" s="140">
        <f>'[7]117306'!$C$35+'[7]117306'!$C$34+'[7]117706'!$C$35+'[7]117706'!$C$34+'[7]117448'!$C$35+'[7]117448'!$C$34+'[7]117449'!$C$35+'[7]117449'!$C$34+'[7]117472'!$C$35+'[7]117472'!$C$34</f>
        <v>1955</v>
      </c>
      <c r="AR15" s="175">
        <v>5513.6180000000004</v>
      </c>
      <c r="AS15" s="142">
        <f t="shared" si="10"/>
        <v>0.35457661375887845</v>
      </c>
      <c r="AT15" s="143">
        <f t="shared" si="11"/>
        <v>10.467849802033397</v>
      </c>
      <c r="AU15" s="37"/>
      <c r="AV15" s="183">
        <v>0.62121212121212122</v>
      </c>
      <c r="AW15" s="140">
        <f>SUM('[1]117306'!$H$61)+SUM('[1]117706'!$H$61)+SUM('[1]117448'!$H$61)+SUM('[1]117449'!$H$61)+SUM('[1]117472'!$H$61)</f>
        <v>22</v>
      </c>
      <c r="AX15" s="140">
        <f>SUM('[1]117306'!$H$67)+SUM('[1]117706'!$H$67)+SUM('[1]117448'!$H$67)+SUM('[1]117449'!$H$67)+SUM('[1]117472'!$H$67)</f>
        <v>50</v>
      </c>
      <c r="AY15" s="142">
        <f t="shared" si="12"/>
        <v>0.44</v>
      </c>
      <c r="AZ15" s="143">
        <f t="shared" si="13"/>
        <v>8.8536585365853657</v>
      </c>
      <c r="BA15" s="37"/>
      <c r="BB15" s="23">
        <v>0.1</v>
      </c>
      <c r="BC15" s="175">
        <f>SUM('[8]117306'!$H$59:$AM$59)+SUM('[8]117306'!$C$63)+SUM('[8]117706'!$H$59:$AM$59)+SUM('[8]117706'!$C$63)+SUM('[8]117448'!$H$59:$AM$59)+SUM('[8]117448'!$C$63)+SUM('[8]117449'!$H$59:$AM$59)+SUM('[8]117449'!$C$63)+SUM('[8]117472'!$H$59:$AM$59)+SUM('[8]117472'!$C$63)</f>
        <v>329</v>
      </c>
      <c r="BD15" s="175">
        <v>3012</v>
      </c>
      <c r="BE15" s="142">
        <f t="shared" si="32"/>
        <v>0.10922974767596282</v>
      </c>
      <c r="BF15" s="143">
        <f t="shared" si="33"/>
        <v>6.25</v>
      </c>
      <c r="BG15" s="37"/>
      <c r="BH15" s="37"/>
      <c r="BI15" s="23">
        <v>1</v>
      </c>
      <c r="BJ15" s="140"/>
      <c r="BK15" s="140"/>
      <c r="BL15" s="142">
        <f t="shared" si="14"/>
        <v>1</v>
      </c>
      <c r="BM15" s="143">
        <f t="shared" si="15"/>
        <v>6.25</v>
      </c>
      <c r="BN15" s="42"/>
      <c r="BO15" s="22"/>
      <c r="BP15" s="141">
        <f t="shared" si="43"/>
        <v>82.520246269001817</v>
      </c>
      <c r="BQ15" s="41" t="str">
        <f>IF(BP15&gt;=90,"Tramo 1: 100% C. Variable",IF(AND(BP15&gt;=75,BP15&lt;90),"Tramo 2: 50% C. Variable",IF(BP15&lt;75,"Tramo 3: Sin Asig. C. Variable")))</f>
        <v>Tramo 2: 50% C. Variable</v>
      </c>
      <c r="BR15" s="69">
        <v>90</v>
      </c>
      <c r="DB15"/>
    </row>
    <row r="16" spans="1:148" ht="15" outlineLevel="2" x14ac:dyDescent="0.25">
      <c r="A16" s="156" t="s">
        <v>20</v>
      </c>
      <c r="B16" s="46" t="s">
        <v>48</v>
      </c>
      <c r="C16" s="46" t="s">
        <v>69</v>
      </c>
      <c r="D16" s="45"/>
      <c r="E16" s="21">
        <v>0.9</v>
      </c>
      <c r="F16" s="177">
        <f>SUM('[1]117308'!$J$26:$M$26)+SUM('[1]117308'!$J$28:$M$28)+SUM('[1]117454'!$J$26:$M$26)+SUM('[1]117308'!$J$28:$M$28)</f>
        <v>6</v>
      </c>
      <c r="G16" s="177">
        <f>SUM('[2]117308'!$J$22:$M$22)+SUM('[3]117308'!$J$22:$M$22)+SUM('[4]117308'!$J$22:$M$22)+SUM('[1]117308'!$J$23:$M$23) + SUM('[2]117454'!$J$22:$M$22)+SUM('[3]117454'!$J$22:$M$22)+SUM('[4]117454'!$J$22:$M$22)+SUM('[1]117454'!$J$23:$M$23)-(SUM('[2]117308'!$J$39:$M$39)+SUM('[3]117308'!$J$39:$M$39)+SUM('[4]117308'!$J$39:$M$39)+SUM('[1]117308'!$J$40:$M$40) + SUM('[2]117454'!$J$39:$M$39)+SUM('[3]117454'!$J$39:$M$39)+SUM('[4]117454'!$J$39:$M$39)+SUM('[1]117454'!$J$40:$M$40))</f>
        <v>11</v>
      </c>
      <c r="H16" s="144">
        <f t="shared" si="0"/>
        <v>0.54545454545454541</v>
      </c>
      <c r="I16" s="143">
        <f t="shared" si="1"/>
        <v>7.5757575757575744</v>
      </c>
      <c r="J16" s="37"/>
      <c r="K16" s="23">
        <v>0.9</v>
      </c>
      <c r="L16" s="198">
        <f>SUM('[5]117308'!$B$11:$B$18)+SUM('[5]117454'!$B$11:$B$18)</f>
        <v>1582</v>
      </c>
      <c r="M16" s="175">
        <v>1678.46</v>
      </c>
      <c r="N16" s="142">
        <f t="shared" si="2"/>
        <v>0.94253065309867379</v>
      </c>
      <c r="O16" s="143">
        <f t="shared" si="3"/>
        <v>12.5</v>
      </c>
      <c r="P16" s="37"/>
      <c r="Q16" s="183">
        <v>0.41</v>
      </c>
      <c r="R16" s="140">
        <f>SUM('[1]117308'!$F$205:$Y$205)+SUM('[1]117454'!$F$205:$Y$205)</f>
        <v>212</v>
      </c>
      <c r="S16" s="175">
        <v>713</v>
      </c>
      <c r="T16" s="142">
        <f t="shared" si="4"/>
        <v>0.2973352033660589</v>
      </c>
      <c r="U16" s="143">
        <f t="shared" si="29"/>
        <v>4.5325488317996783</v>
      </c>
      <c r="V16" s="37"/>
      <c r="W16" s="183">
        <v>0.16</v>
      </c>
      <c r="X16" s="140">
        <f>SUM('[6]117308'!$S$48+'[6]117308'!$T$48)+SUM('[6]117454'!$S$48+'[6]117454'!$T$48)</f>
        <v>9</v>
      </c>
      <c r="Y16" s="175">
        <v>77</v>
      </c>
      <c r="Z16" s="142">
        <f t="shared" si="30"/>
        <v>0.11688311688311688</v>
      </c>
      <c r="AA16" s="143">
        <f t="shared" si="5"/>
        <v>4.5657467532467528</v>
      </c>
      <c r="AB16" s="43">
        <f t="shared" si="31"/>
        <v>9.0982955850464311</v>
      </c>
      <c r="AC16" s="37"/>
      <c r="AD16" s="183">
        <v>0.26281776085634445</v>
      </c>
      <c r="AE16" s="175">
        <f>'[7]117308'!$C$36+'[7]117308'!$C$37+'[7]117454'!$C$36+'[7]117454'!$C$37</f>
        <v>232</v>
      </c>
      <c r="AF16" s="175">
        <v>1054.7459999999999</v>
      </c>
      <c r="AG16" s="142">
        <f t="shared" si="6"/>
        <v>0.21995817002387308</v>
      </c>
      <c r="AH16" s="143">
        <f t="shared" si="7"/>
        <v>10.461534701230756</v>
      </c>
      <c r="AI16" s="37"/>
      <c r="AJ16" s="183">
        <v>0.9</v>
      </c>
      <c r="AK16" s="175">
        <f>'[7]117308'!$C$63+'[7]117308'!$C$64+'[7]117308'!$C$61+'[7]117308'!$C$62+'[7]117454'!$C$63+'[7]117454'!$C$64+'[7]117454'!$C$61+'[7]117454'!$C$62</f>
        <v>854</v>
      </c>
      <c r="AL16" s="175">
        <f>'[7]117308'!$C$17+'[7]117454'!$C$17</f>
        <v>874</v>
      </c>
      <c r="AM16" s="142">
        <f t="shared" si="8"/>
        <v>0.97711670480549195</v>
      </c>
      <c r="AN16" s="143">
        <f t="shared" si="9"/>
        <v>12.5</v>
      </c>
      <c r="AO16" s="37"/>
      <c r="AP16" s="183">
        <v>0.49823297629475632</v>
      </c>
      <c r="AQ16" s="140">
        <f>'[7]117308'!$C$35+'[7]117308'!$C$34+'[7]117454'!$C$35+'[7]117454'!$C$34</f>
        <v>1251</v>
      </c>
      <c r="AR16" s="175">
        <v>2420.9229999999998</v>
      </c>
      <c r="AS16" s="142">
        <f t="shared" si="10"/>
        <v>0.51674505963221473</v>
      </c>
      <c r="AT16" s="143">
        <f t="shared" si="11"/>
        <v>12.5</v>
      </c>
      <c r="AU16" s="37"/>
      <c r="AV16" s="183">
        <v>0.625</v>
      </c>
      <c r="AW16" s="140">
        <f>SUM('[1]117308'!$H$61)+SUM('[1]117454'!$H$61)</f>
        <v>17</v>
      </c>
      <c r="AX16" s="140">
        <f>SUM('[1]117308'!$H$67)+SUM('[1]117454'!$H$67)</f>
        <v>28</v>
      </c>
      <c r="AY16" s="142">
        <f t="shared" si="12"/>
        <v>0.6071428571428571</v>
      </c>
      <c r="AZ16" s="143">
        <f t="shared" si="13"/>
        <v>12.142857142857141</v>
      </c>
      <c r="BA16" s="37"/>
      <c r="BB16" s="23">
        <v>0.1</v>
      </c>
      <c r="BC16" s="175">
        <f>SUM('[8]117308'!$H$59:$AM$59)+SUM('[8]117308'!$C$63)+SUM('[8]117454'!$H$59:$AM$59)+SUM('[8]117454'!$C$63)</f>
        <v>267</v>
      </c>
      <c r="BD16" s="175">
        <v>1313</v>
      </c>
      <c r="BE16" s="142">
        <f t="shared" si="32"/>
        <v>0.20335110434120335</v>
      </c>
      <c r="BF16" s="143">
        <f t="shared" si="33"/>
        <v>6.25</v>
      </c>
      <c r="BG16" s="37"/>
      <c r="BH16" s="37"/>
      <c r="BI16" s="23">
        <v>1</v>
      </c>
      <c r="BJ16" s="140"/>
      <c r="BK16" s="140"/>
      <c r="BL16" s="142">
        <f t="shared" si="14"/>
        <v>1</v>
      </c>
      <c r="BM16" s="143">
        <f t="shared" si="15"/>
        <v>6.25</v>
      </c>
      <c r="BN16" s="42"/>
      <c r="BO16" s="22"/>
      <c r="BP16" s="141">
        <f t="shared" si="43"/>
        <v>89.278445004891907</v>
      </c>
      <c r="BQ16" s="41" t="str">
        <f t="shared" si="17"/>
        <v>Tramo 2: 50% C. Variable</v>
      </c>
      <c r="BR16" s="69">
        <v>90</v>
      </c>
      <c r="DB16"/>
    </row>
    <row r="17" spans="1:148" ht="15" outlineLevel="2" x14ac:dyDescent="0.25">
      <c r="A17" s="156" t="s">
        <v>87</v>
      </c>
      <c r="B17" s="46" t="s">
        <v>49</v>
      </c>
      <c r="C17" s="46" t="s">
        <v>69</v>
      </c>
      <c r="D17" s="45"/>
      <c r="E17" s="21">
        <v>0.9</v>
      </c>
      <c r="F17" s="140">
        <f>SUM('[1]117319'!$J$26:$M$26)+SUM('[1]117319'!$J$28:$M$28)</f>
        <v>2</v>
      </c>
      <c r="G17" s="140">
        <f>SUM('[2]117319'!$J$22:$M$22)+SUM('[3]117319'!$J$22:$M$22)+SUM('[4]117319'!$J$22:$M$22)+SUM('[1]117319'!$J$23:$M$23)-(SUM('[2]117319'!$J$39:$M$39)+SUM('[3]117319'!$J$39:$M$39)+SUM('[4]117319'!$J$39:$M$39)+SUM('[1]117319'!$J$40:$M$40))</f>
        <v>3</v>
      </c>
      <c r="H17" s="144">
        <f t="shared" si="0"/>
        <v>0.66666666666666663</v>
      </c>
      <c r="I17" s="143">
        <f t="shared" si="1"/>
        <v>9.2592592592592595</v>
      </c>
      <c r="J17" s="37"/>
      <c r="K17" s="23">
        <v>0.9</v>
      </c>
      <c r="L17" s="198">
        <f>SUM('[5]117319'!$B$11:$B$18)</f>
        <v>941</v>
      </c>
      <c r="M17" s="175">
        <v>942.34</v>
      </c>
      <c r="N17" s="142">
        <f t="shared" si="2"/>
        <v>0.99857800793768703</v>
      </c>
      <c r="O17" s="143">
        <f t="shared" si="3"/>
        <v>12.5</v>
      </c>
      <c r="P17" s="37"/>
      <c r="Q17" s="183">
        <v>0.41</v>
      </c>
      <c r="R17" s="140">
        <f>SUM('[1]117319'!$F$205:$Y$205)</f>
        <v>82</v>
      </c>
      <c r="S17" s="175">
        <v>437</v>
      </c>
      <c r="T17" s="142">
        <f t="shared" si="4"/>
        <v>0.18764302059496568</v>
      </c>
      <c r="U17" s="143">
        <f t="shared" si="29"/>
        <v>2.8604118993135015</v>
      </c>
      <c r="V17" s="37"/>
      <c r="W17" s="183">
        <v>0.16</v>
      </c>
      <c r="X17" s="140">
        <f>SUM('[6]117319'!$S$48+'[6]117319'!$T$48)</f>
        <v>4</v>
      </c>
      <c r="Y17" s="175">
        <v>34</v>
      </c>
      <c r="Z17" s="142">
        <f t="shared" si="30"/>
        <v>0.11764705882352941</v>
      </c>
      <c r="AA17" s="143">
        <f t="shared" si="5"/>
        <v>4.5955882352941169</v>
      </c>
      <c r="AB17" s="43">
        <f t="shared" si="31"/>
        <v>7.4560001346076188</v>
      </c>
      <c r="AC17" s="37"/>
      <c r="AD17" s="183">
        <v>0.36751389220181457</v>
      </c>
      <c r="AE17" s="175">
        <f>'[7]117319'!$C$36+'[7]117319'!$C$37</f>
        <v>205</v>
      </c>
      <c r="AF17" s="175">
        <v>596.00699999999995</v>
      </c>
      <c r="AG17" s="142">
        <f t="shared" si="6"/>
        <v>0.34395569179556618</v>
      </c>
      <c r="AH17" s="143">
        <f t="shared" si="7"/>
        <v>11.698730955954185</v>
      </c>
      <c r="AI17" s="37"/>
      <c r="AJ17" s="183">
        <v>0.9</v>
      </c>
      <c r="AK17" s="175">
        <f>'[7]117319'!$C$63+'[7]117319'!$C$64+'[7]117319'!$C$61+'[7]117319'!$C$62</f>
        <v>531</v>
      </c>
      <c r="AL17" s="175">
        <f>'[7]117319'!$C$17</f>
        <v>600</v>
      </c>
      <c r="AM17" s="142">
        <f t="shared" si="8"/>
        <v>0.88500000000000001</v>
      </c>
      <c r="AN17" s="143">
        <f t="shared" si="9"/>
        <v>12.291666666666666</v>
      </c>
      <c r="AO17" s="37"/>
      <c r="AP17" s="183">
        <v>0.67302957471014191</v>
      </c>
      <c r="AQ17" s="140">
        <f>'[7]117319'!$C$35+'[7]117319'!$C$34</f>
        <v>655</v>
      </c>
      <c r="AR17" s="175">
        <v>1365.7909999999999</v>
      </c>
      <c r="AS17" s="142">
        <f t="shared" si="10"/>
        <v>0.47957557195793504</v>
      </c>
      <c r="AT17" s="143">
        <f t="shared" si="11"/>
        <v>8.9070300544459169</v>
      </c>
      <c r="AU17" s="37"/>
      <c r="AV17" s="183">
        <v>0.7</v>
      </c>
      <c r="AW17" s="140">
        <f>SUM('[1]117319'!$H$61)</f>
        <v>13</v>
      </c>
      <c r="AX17" s="140">
        <f>SUM('[1]117319'!$H$67)</f>
        <v>22</v>
      </c>
      <c r="AY17" s="142">
        <f t="shared" si="12"/>
        <v>0.59090909090909094</v>
      </c>
      <c r="AZ17" s="143">
        <f t="shared" si="13"/>
        <v>10.551948051948052</v>
      </c>
      <c r="BA17" s="37"/>
      <c r="BB17" s="23">
        <v>0.1</v>
      </c>
      <c r="BC17" s="175">
        <f>SUM('[8]117319'!$H$59:$AM$59)+SUM('[8]117319'!$C$63)</f>
        <v>223</v>
      </c>
      <c r="BD17" s="175">
        <v>760</v>
      </c>
      <c r="BE17" s="142">
        <f t="shared" si="32"/>
        <v>0.29342105263157897</v>
      </c>
      <c r="BF17" s="143">
        <f t="shared" si="33"/>
        <v>6.25</v>
      </c>
      <c r="BG17" s="37"/>
      <c r="BH17" s="37"/>
      <c r="BI17" s="23">
        <v>1</v>
      </c>
      <c r="BJ17" s="140"/>
      <c r="BK17" s="140"/>
      <c r="BL17" s="142">
        <f t="shared" si="14"/>
        <v>1</v>
      </c>
      <c r="BM17" s="143">
        <f t="shared" si="15"/>
        <v>6.25</v>
      </c>
      <c r="BN17" s="42"/>
      <c r="BO17" s="22"/>
      <c r="BP17" s="141">
        <f t="shared" si="43"/>
        <v>85.164635122881691</v>
      </c>
      <c r="BQ17" s="41" t="str">
        <f t="shared" si="17"/>
        <v>Tramo 2: 50% C. Variable</v>
      </c>
      <c r="BR17" s="69">
        <v>90</v>
      </c>
      <c r="DB17"/>
    </row>
    <row r="18" spans="1:148" ht="15" outlineLevel="2" x14ac:dyDescent="0.25">
      <c r="A18" s="156" t="s">
        <v>88</v>
      </c>
      <c r="B18" s="46" t="s">
        <v>28</v>
      </c>
      <c r="C18" s="46" t="s">
        <v>69</v>
      </c>
      <c r="D18" s="45"/>
      <c r="E18" s="21">
        <v>0.9</v>
      </c>
      <c r="F18" s="140">
        <f>SUM('[1]117455'!$J$26:$M$26)+SUM('[1]117455'!$J$28:$M$28)</f>
        <v>3</v>
      </c>
      <c r="G18" s="140">
        <f>SUM('[2]117455'!$J$22:$M$22)+SUM('[3]117455'!$J$22:$M$22)+SUM('[4]117455'!$J$22:$M$22)+SUM('[1]117455'!$J$23:$M$23)-(SUM('[2]117455'!$J$39:$M$39)+SUM('[3]117455'!$J$39:$M$39)+SUM('[4]117455'!$J$39:$M$39)+SUM('[1]117455'!$J$40:$M$40))</f>
        <v>3</v>
      </c>
      <c r="H18" s="144">
        <f t="shared" si="0"/>
        <v>1</v>
      </c>
      <c r="I18" s="143">
        <f t="shared" si="1"/>
        <v>12.5</v>
      </c>
      <c r="J18" s="37"/>
      <c r="K18" s="23">
        <v>0.9</v>
      </c>
      <c r="L18" s="198">
        <f>SUM('[5]117455'!$B$11:$B$18)</f>
        <v>1026</v>
      </c>
      <c r="M18" s="175">
        <v>1013.88</v>
      </c>
      <c r="N18" s="142">
        <f t="shared" si="2"/>
        <v>1.0119540774056102</v>
      </c>
      <c r="O18" s="143">
        <f t="shared" si="3"/>
        <v>12.5</v>
      </c>
      <c r="P18" s="37"/>
      <c r="Q18" s="183">
        <v>0.41</v>
      </c>
      <c r="R18" s="140">
        <f>SUM('[1]117455'!$F$205:$Y$205)</f>
        <v>187</v>
      </c>
      <c r="S18" s="175">
        <v>539</v>
      </c>
      <c r="T18" s="142">
        <f t="shared" si="4"/>
        <v>0.34693877551020408</v>
      </c>
      <c r="U18" s="143">
        <f t="shared" si="29"/>
        <v>5.2887008461921354</v>
      </c>
      <c r="V18" s="37"/>
      <c r="W18" s="183">
        <v>0.16</v>
      </c>
      <c r="X18" s="140">
        <f>SUM('[6]117455'!$S$48+'[6]117455'!$T$48)</f>
        <v>11</v>
      </c>
      <c r="Y18" s="175">
        <v>59</v>
      </c>
      <c r="Z18" s="142">
        <f t="shared" si="30"/>
        <v>0.1864406779661017</v>
      </c>
      <c r="AA18" s="143">
        <f t="shared" si="5"/>
        <v>6.25</v>
      </c>
      <c r="AB18" s="43">
        <f t="shared" si="31"/>
        <v>11.538700846192135</v>
      </c>
      <c r="AC18" s="37"/>
      <c r="AD18" s="183">
        <v>0.35910081156783419</v>
      </c>
      <c r="AE18" s="175">
        <f>'[7]117455'!$C$36+'[7]117455'!$C$37</f>
        <v>79</v>
      </c>
      <c r="AF18" s="175">
        <v>543.61199999999997</v>
      </c>
      <c r="AG18" s="142">
        <f t="shared" si="6"/>
        <v>0.14532423861136254</v>
      </c>
      <c r="AH18" s="143">
        <f t="shared" si="7"/>
        <v>5.0586156425293529</v>
      </c>
      <c r="AI18" s="37"/>
      <c r="AJ18" s="183">
        <v>0.89213973799126645</v>
      </c>
      <c r="AK18" s="175">
        <f>'[7]117455'!$C$63+'[7]117455'!$C$64+'[7]117455'!$C$61+'[7]117455'!$C$62</f>
        <v>219</v>
      </c>
      <c r="AL18" s="175">
        <f>'[7]117455'!$C$17</f>
        <v>415</v>
      </c>
      <c r="AM18" s="142">
        <f t="shared" si="8"/>
        <v>0.52771084337349394</v>
      </c>
      <c r="AN18" s="143">
        <f t="shared" si="9"/>
        <v>7.3938927516232322</v>
      </c>
      <c r="AO18" s="37"/>
      <c r="AP18" s="183">
        <v>0.51567257431492985</v>
      </c>
      <c r="AQ18" s="140">
        <f>'[7]117455'!$C$35+'[7]117455'!$C$34</f>
        <v>336</v>
      </c>
      <c r="AR18" s="175">
        <v>1232.337</v>
      </c>
      <c r="AS18" s="142">
        <f t="shared" si="10"/>
        <v>0.27265269159328981</v>
      </c>
      <c r="AT18" s="143">
        <f t="shared" si="11"/>
        <v>6.6091524247607225</v>
      </c>
      <c r="AU18" s="37"/>
      <c r="AV18" s="183">
        <v>0.61111111111111116</v>
      </c>
      <c r="AW18" s="140">
        <f>SUM('[1]117455'!$H$61)</f>
        <v>8</v>
      </c>
      <c r="AX18" s="140">
        <f>SUM('[1]117455'!$H$67)</f>
        <v>8</v>
      </c>
      <c r="AY18" s="142">
        <f t="shared" si="12"/>
        <v>1</v>
      </c>
      <c r="AZ18" s="143">
        <f t="shared" si="13"/>
        <v>12.5</v>
      </c>
      <c r="BA18" s="37"/>
      <c r="BB18" s="23">
        <v>0.1</v>
      </c>
      <c r="BC18" s="175">
        <f>SUM('[8]117455'!$H$59:$AM$59)+ SUM('[8]117455'!$C$63)</f>
        <v>103</v>
      </c>
      <c r="BD18" s="175">
        <v>725</v>
      </c>
      <c r="BE18" s="142">
        <f t="shared" si="32"/>
        <v>0.14206896551724138</v>
      </c>
      <c r="BF18" s="143">
        <f t="shared" si="33"/>
        <v>6.25</v>
      </c>
      <c r="BG18" s="37"/>
      <c r="BH18" s="37"/>
      <c r="BI18" s="23">
        <v>1</v>
      </c>
      <c r="BJ18" s="140"/>
      <c r="BK18" s="140"/>
      <c r="BL18" s="142">
        <f t="shared" si="14"/>
        <v>1</v>
      </c>
      <c r="BM18" s="143">
        <f t="shared" si="15"/>
        <v>6.25</v>
      </c>
      <c r="BN18" s="42"/>
      <c r="BO18" s="22"/>
      <c r="BP18" s="141">
        <f t="shared" si="43"/>
        <v>80.600361665105453</v>
      </c>
      <c r="BQ18" s="41" t="str">
        <f t="shared" si="17"/>
        <v>Tramo 2: 50% C. Variable</v>
      </c>
      <c r="BR18" s="69">
        <v>90</v>
      </c>
      <c r="DB18"/>
    </row>
    <row r="19" spans="1:148" ht="15" outlineLevel="2" x14ac:dyDescent="0.25">
      <c r="A19" s="156" t="s">
        <v>89</v>
      </c>
      <c r="B19" s="46" t="s">
        <v>37</v>
      </c>
      <c r="C19" s="46" t="s">
        <v>69</v>
      </c>
      <c r="D19" s="45"/>
      <c r="E19" s="21">
        <v>0.9</v>
      </c>
      <c r="F19" s="140">
        <f>SUM('[1]117315'!$J$26:$M$26)+SUM('[1]117315'!$J$28:$M$28)+SUM('[1]117458'!$J$26:$M$26)+SUM('[1]117458'!$J$28:$M$28)</f>
        <v>0</v>
      </c>
      <c r="G19" s="140">
        <f>SUM('[2]117315'!$J$22:$M$22)+SUM('[3]117315'!$J$22:$M$22)+SUM('[4]117315'!$J$22:$M$22)+SUM('[1]117315'!$J$23:$M$23) + SUM('[2]117458'!$J$22:$M$22)+SUM('[3]117458'!$J$22:$M$22)+SUM('[4]117458'!$J$22:$M$22)+SUM('[1]117458'!$J$23:$M$23)-(SUM('[2]117315'!$J$39:$M$39)+SUM('[3]117315'!$J$39:$M$39)+SUM('[4]117315'!$J$39:$M$39)+SUM('[1]117315'!$J$40:$M$40) + SUM('[2]117458'!$J$39:$M$39)+SUM('[3]117458'!$J$39:$M$39)+SUM('[4]117458'!$J$39:$M$39)+SUM('[1]117458'!$J$40:$M$40))</f>
        <v>0</v>
      </c>
      <c r="H19" s="144">
        <f t="shared" si="0"/>
        <v>1</v>
      </c>
      <c r="I19" s="143">
        <f t="shared" si="1"/>
        <v>12.5</v>
      </c>
      <c r="J19" s="37"/>
      <c r="K19" s="23">
        <v>0.9</v>
      </c>
      <c r="L19" s="198">
        <f>SUM('[5]117315'!$B$11:$B$18)+SUM('[5]117458'!$B$11:$B$18)</f>
        <v>984</v>
      </c>
      <c r="M19" s="175">
        <v>1074.08</v>
      </c>
      <c r="N19" s="142">
        <f t="shared" si="2"/>
        <v>0.91613287650826758</v>
      </c>
      <c r="O19" s="143">
        <f t="shared" si="3"/>
        <v>12.5</v>
      </c>
      <c r="P19" s="37"/>
      <c r="Q19" s="183">
        <v>0.41</v>
      </c>
      <c r="R19" s="140">
        <f>SUM('[1]117315'!$F$205:$Y$205)+SUM('[1]117458'!$F$205:$Y$205)</f>
        <v>93</v>
      </c>
      <c r="S19" s="175">
        <v>283</v>
      </c>
      <c r="T19" s="142">
        <f t="shared" si="4"/>
        <v>0.32862190812720848</v>
      </c>
      <c r="U19" s="143">
        <f t="shared" si="29"/>
        <v>5.0094803068172027</v>
      </c>
      <c r="V19" s="37"/>
      <c r="W19" s="183">
        <v>0.14666666666666667</v>
      </c>
      <c r="X19" s="140">
        <f>SUM('[6]117315'!$S$48+'[6]117315'!$T$48)+SUM('[6]117458'!$S$48+'[6]117458'!$T$48)</f>
        <v>8</v>
      </c>
      <c r="Y19" s="175">
        <v>25</v>
      </c>
      <c r="Z19" s="142">
        <f t="shared" si="30"/>
        <v>0.32</v>
      </c>
      <c r="AA19" s="143">
        <f t="shared" si="5"/>
        <v>6.25</v>
      </c>
      <c r="AB19" s="43">
        <f t="shared" si="31"/>
        <v>11.259480306817203</v>
      </c>
      <c r="AC19" s="37"/>
      <c r="AD19" s="183">
        <v>0.26385574210639862</v>
      </c>
      <c r="AE19" s="175">
        <f>'[7]117315'!$C$36+'[7]117315'!$C$37+'[7]117458'!$C$36+'[7]117458'!$C$37</f>
        <v>176</v>
      </c>
      <c r="AF19" s="175">
        <v>766.59899999999993</v>
      </c>
      <c r="AG19" s="142">
        <f t="shared" si="6"/>
        <v>0.2295854808054798</v>
      </c>
      <c r="AH19" s="143">
        <f t="shared" si="7"/>
        <v>10.876467903098566</v>
      </c>
      <c r="AI19" s="37"/>
      <c r="AJ19" s="183">
        <v>0.81944223107569725</v>
      </c>
      <c r="AK19" s="175">
        <f>'[7]117315'!$C$63+'[7]117315'!$C$64+'[7]117315'!$C$61+'[7]117315'!$C$62+'[7]117458'!$C$63+'[7]117458'!$C$64+'[7]117458'!$C$61+'[7]117458'!$C$62</f>
        <v>405</v>
      </c>
      <c r="AL19" s="175">
        <f>'[7]117315'!$C$17+'[7]117458'!$C$17</f>
        <v>461</v>
      </c>
      <c r="AM19" s="142">
        <f t="shared" si="8"/>
        <v>0.87852494577006512</v>
      </c>
      <c r="AN19" s="143">
        <f t="shared" si="9"/>
        <v>12.5</v>
      </c>
      <c r="AO19" s="37"/>
      <c r="AP19" s="183">
        <v>0.41898940230680232</v>
      </c>
      <c r="AQ19" s="140">
        <f>'[7]117315'!$C$35+'[7]117315'!$C$34+'[7]117458'!$C$35+'[7]117458'!$C$34</f>
        <v>583</v>
      </c>
      <c r="AR19" s="175">
        <v>1767.27</v>
      </c>
      <c r="AS19" s="142">
        <f t="shared" si="10"/>
        <v>0.32988734036112194</v>
      </c>
      <c r="AT19" s="143">
        <f t="shared" si="11"/>
        <v>9.8417566931550944</v>
      </c>
      <c r="AU19" s="37"/>
      <c r="AV19" s="183">
        <v>0.48230769230769233</v>
      </c>
      <c r="AW19" s="140">
        <f>SUM('[1]117315'!$H$61)+SUM('[1]117458'!$H$61)</f>
        <v>9</v>
      </c>
      <c r="AX19" s="140">
        <f>SUM('[1]117315'!$H$67)+SUM('[1]117458'!$H$67)</f>
        <v>14</v>
      </c>
      <c r="AY19" s="142">
        <f t="shared" si="12"/>
        <v>0.6428571428571429</v>
      </c>
      <c r="AZ19" s="143">
        <f t="shared" si="13"/>
        <v>12.5</v>
      </c>
      <c r="BA19" s="37"/>
      <c r="BB19" s="23">
        <v>0.1</v>
      </c>
      <c r="BC19" s="175">
        <f>SUM('[8]117315'!$H$59:$AM$59)+SUM('[8]117315'!$C$63)+SUM('[8]117458'!$H$59:$AM$59)+SUM('[8]117458'!$C$63)</f>
        <v>262</v>
      </c>
      <c r="BD19" s="175">
        <v>927</v>
      </c>
      <c r="BE19" s="142">
        <f t="shared" si="32"/>
        <v>0.28263214670981662</v>
      </c>
      <c r="BF19" s="143">
        <f t="shared" si="33"/>
        <v>6.25</v>
      </c>
      <c r="BG19" s="37"/>
      <c r="BH19" s="37"/>
      <c r="BI19" s="23">
        <v>1</v>
      </c>
      <c r="BJ19" s="140"/>
      <c r="BK19" s="140"/>
      <c r="BL19" s="142">
        <f t="shared" si="14"/>
        <v>1</v>
      </c>
      <c r="BM19" s="143">
        <f t="shared" si="15"/>
        <v>6.25</v>
      </c>
      <c r="BN19" s="42"/>
      <c r="BO19" s="22"/>
      <c r="BP19" s="141">
        <f t="shared" si="43"/>
        <v>94.477704903070858</v>
      </c>
      <c r="BQ19" s="41" t="str">
        <f t="shared" si="17"/>
        <v>Tramo 1: 100% C. Variable</v>
      </c>
      <c r="BR19" s="69">
        <v>90</v>
      </c>
      <c r="DB19"/>
    </row>
    <row r="20" spans="1:148" ht="15" outlineLevel="2" x14ac:dyDescent="0.25">
      <c r="A20" s="156" t="s">
        <v>90</v>
      </c>
      <c r="B20" s="46" t="s">
        <v>29</v>
      </c>
      <c r="C20" s="46" t="s">
        <v>69</v>
      </c>
      <c r="D20" s="45"/>
      <c r="E20" s="21">
        <v>0.9</v>
      </c>
      <c r="F20" s="140">
        <f>SUM('[1]117326'!$J$26:$M$26)+SUM('[1]117326'!$J$28:$M$28)+SUM('[1]117426'!$J$26:$M$26)+SUM('[1]117426'!$J$28:$M$28)</f>
        <v>5</v>
      </c>
      <c r="G20" s="140">
        <f>SUM('[2]117326'!$J$22:$M$22)+SUM('[3]117326'!$J$22:$M$22)+SUM('[4]117326'!$J$22:$M$22)+SUM('[1]117326'!$J$23:$M$23) + SUM('[2]117426'!$J$22:$M$22)+SUM('[3]117426'!$J$22:$M$22)+SUM('[4]117426'!$J$22:$M$22)+SUM('[1]117426'!$J$23:$M$23)-(SUM('[2]117326'!$J$39:$M$39)+SUM('[3]117326'!$J$39:$M$39)+SUM('[4]117326'!$J$39:$M$39)+SUM('[1]117326'!$J$40:$M$40) + SUM('[2]117426'!$J$39:$M$39)+SUM('[3]117426'!$J$39:$M$39)+SUM('[4]117426'!$J$39:$M$39)+SUM('[1]117426'!$J$40:$M$40))</f>
        <v>10</v>
      </c>
      <c r="H20" s="144">
        <f t="shared" si="0"/>
        <v>0.5</v>
      </c>
      <c r="I20" s="143">
        <f t="shared" si="1"/>
        <v>6.9444444444444446</v>
      </c>
      <c r="J20" s="37"/>
      <c r="K20" s="23">
        <v>0.9</v>
      </c>
      <c r="L20" s="198">
        <f>SUM('[5]117326'!$B$11:$B$18)+SUM('[5]117426'!$B$11:$B$18)</f>
        <v>2085</v>
      </c>
      <c r="M20" s="175">
        <v>2056.9</v>
      </c>
      <c r="N20" s="142">
        <f t="shared" si="2"/>
        <v>1.0136613350187174</v>
      </c>
      <c r="O20" s="143">
        <f t="shared" si="3"/>
        <v>12.5</v>
      </c>
      <c r="P20" s="37"/>
      <c r="Q20" s="183">
        <v>0.41</v>
      </c>
      <c r="R20" s="140">
        <f>SUM('[1]117326'!$F$205:$Y$205)+SUM('[1]117426'!$F$205:$Y$205)</f>
        <v>251</v>
      </c>
      <c r="S20" s="175">
        <v>771</v>
      </c>
      <c r="T20" s="142">
        <f t="shared" si="4"/>
        <v>0.32555123216601817</v>
      </c>
      <c r="U20" s="143">
        <f t="shared" si="29"/>
        <v>4.9626712220429603</v>
      </c>
      <c r="V20" s="37"/>
      <c r="W20" s="183">
        <v>0.16</v>
      </c>
      <c r="X20" s="140">
        <f>SUM('[6]117326'!$S$48+'[6]117326'!$T$48)+SUM('[6]117426'!$S$48+'[6]117426'!$T$48)</f>
        <v>15</v>
      </c>
      <c r="Y20" s="175">
        <v>71</v>
      </c>
      <c r="Z20" s="142">
        <f t="shared" si="30"/>
        <v>0.21126760563380281</v>
      </c>
      <c r="AA20" s="143">
        <f t="shared" si="5"/>
        <v>6.25</v>
      </c>
      <c r="AB20" s="43">
        <f t="shared" si="31"/>
        <v>11.21267122204296</v>
      </c>
      <c r="AC20" s="37"/>
      <c r="AD20" s="183">
        <v>0.28206371170402472</v>
      </c>
      <c r="AE20" s="175">
        <f>'[7]117326'!$C$36+'[7]117326'!$C$37+'[7]117426'!$C$36+'[7]117426'!$C$37</f>
        <v>339</v>
      </c>
      <c r="AF20" s="175">
        <v>1114.7249999999999</v>
      </c>
      <c r="AG20" s="142">
        <f t="shared" si="6"/>
        <v>0.3041108793648658</v>
      </c>
      <c r="AH20" s="143">
        <f t="shared" si="7"/>
        <v>12.5</v>
      </c>
      <c r="AI20" s="37"/>
      <c r="AJ20" s="183">
        <v>0.9</v>
      </c>
      <c r="AK20" s="175">
        <f>'[7]117326'!$C$63+'[7]117326'!$C$64+'[7]117326'!$C$61+'[7]117326'!$C$62+'[7]117426'!$C$63+'[7]117426'!$C$64+'[7]117426'!$C$61+'[7]117426'!$C$62</f>
        <v>840</v>
      </c>
      <c r="AL20" s="175">
        <f>'[7]117326'!$C$17+'[7]117426'!$C$17</f>
        <v>919</v>
      </c>
      <c r="AM20" s="142">
        <f t="shared" si="8"/>
        <v>0.91403699673558214</v>
      </c>
      <c r="AN20" s="143">
        <f t="shared" si="9"/>
        <v>12.5</v>
      </c>
      <c r="AO20" s="37"/>
      <c r="AP20" s="183">
        <v>0.46506543871923589</v>
      </c>
      <c r="AQ20" s="140">
        <f>'[7]117326'!$C$35+'[7]117326'!$C$34+'[7]117426'!$C$35+'[7]117426'!$C$34</f>
        <v>1197</v>
      </c>
      <c r="AR20" s="175">
        <v>2546.0749999999998</v>
      </c>
      <c r="AS20" s="142">
        <f t="shared" si="10"/>
        <v>0.47013540449515434</v>
      </c>
      <c r="AT20" s="143">
        <f t="shared" si="11"/>
        <v>12.5</v>
      </c>
      <c r="AU20" s="37"/>
      <c r="AV20" s="183">
        <v>0.58583333333333332</v>
      </c>
      <c r="AW20" s="140">
        <f>SUM('[1]117326'!$H$61)+SUM('[1]117426'!$H$61)</f>
        <v>18</v>
      </c>
      <c r="AX20" s="140">
        <f>SUM('[1]117326'!$H$67)+SUM('[1]117426'!$H$67)</f>
        <v>43</v>
      </c>
      <c r="AY20" s="142">
        <f t="shared" si="12"/>
        <v>0.41860465116279072</v>
      </c>
      <c r="AZ20" s="143">
        <f t="shared" si="13"/>
        <v>8.931820437328394</v>
      </c>
      <c r="BA20" s="37"/>
      <c r="BB20" s="23">
        <v>0.1</v>
      </c>
      <c r="BC20" s="175">
        <f>SUM('[8]117326'!$H$59:$AM$59)+SUM('[8]117326'!$C$63)+SUM('[8]117426'!$H$59:$AM$59)+SUM('[8]117426'!$C$63)</f>
        <v>334</v>
      </c>
      <c r="BD20" s="175">
        <v>1432</v>
      </c>
      <c r="BE20" s="142">
        <f>IF(BB20="aut",100%,IF(BD20=0,100%,BC20/BD20))</f>
        <v>0.23324022346368714</v>
      </c>
      <c r="BF20" s="143">
        <f>IF(BB20="aut",$C$2/2,IF(BE20&gt;=BB20,$C$2/2,0%))</f>
        <v>6.25</v>
      </c>
      <c r="BG20" s="37"/>
      <c r="BH20" s="37"/>
      <c r="BI20" s="23">
        <v>1</v>
      </c>
      <c r="BJ20" s="140"/>
      <c r="BK20" s="140"/>
      <c r="BL20" s="142">
        <f t="shared" si="14"/>
        <v>1</v>
      </c>
      <c r="BM20" s="143">
        <f t="shared" si="15"/>
        <v>6.25</v>
      </c>
      <c r="BN20" s="42"/>
      <c r="BO20" s="22"/>
      <c r="BP20" s="141">
        <f t="shared" si="43"/>
        <v>89.588936103815797</v>
      </c>
      <c r="BQ20" s="41" t="str">
        <f t="shared" si="17"/>
        <v>Tramo 2: 50% C. Variable</v>
      </c>
      <c r="BR20" s="69">
        <v>90</v>
      </c>
      <c r="DB20"/>
    </row>
    <row r="21" spans="1:148" ht="15" outlineLevel="1" x14ac:dyDescent="0.25">
      <c r="A21" s="156"/>
      <c r="B21" s="40"/>
      <c r="C21" s="36" t="s">
        <v>69</v>
      </c>
      <c r="D21" s="28"/>
      <c r="E21" s="84" t="s">
        <v>69</v>
      </c>
      <c r="F21" s="87">
        <f>SUM(F4:F20)</f>
        <v>76</v>
      </c>
      <c r="G21" s="87">
        <f>SUM(G4:G20)</f>
        <v>127</v>
      </c>
      <c r="H21" s="35">
        <f>IFERROR(F21/G21,"")</f>
        <v>0.59842519685039375</v>
      </c>
      <c r="I21" s="38"/>
      <c r="J21" s="37"/>
      <c r="K21" s="34" t="s">
        <v>69</v>
      </c>
      <c r="L21" s="180">
        <f>SUM(L4:L20)</f>
        <v>43864</v>
      </c>
      <c r="M21" s="87">
        <f>SUM(M4:M20)</f>
        <v>46905.48</v>
      </c>
      <c r="N21" s="35">
        <f>IFERROR(L21/M21,"")</f>
        <v>0.93515725667875049</v>
      </c>
      <c r="O21" s="38"/>
      <c r="P21" s="37"/>
      <c r="Q21" s="36" t="s">
        <v>69</v>
      </c>
      <c r="R21" s="87">
        <f>SUM(R4:R20)</f>
        <v>6634</v>
      </c>
      <c r="S21" s="87">
        <f>SUM(S4:S20)</f>
        <v>24839</v>
      </c>
      <c r="T21" s="35">
        <f>IFERROR(R21/S21,"")</f>
        <v>0.26707999516888764</v>
      </c>
      <c r="U21" s="38"/>
      <c r="V21" s="37"/>
      <c r="W21" s="34" t="s">
        <v>69</v>
      </c>
      <c r="X21" s="87">
        <f>SUM(X4:X20)</f>
        <v>381</v>
      </c>
      <c r="Y21" s="87">
        <f>SUM(Y4:Y20)</f>
        <v>2625</v>
      </c>
      <c r="Z21" s="35">
        <f>IFERROR(X21/Y21,"")</f>
        <v>0.14514285714285713</v>
      </c>
      <c r="AA21" s="38"/>
      <c r="AB21" s="38"/>
      <c r="AC21" s="37"/>
      <c r="AD21" s="184" t="s">
        <v>69</v>
      </c>
      <c r="AE21" s="180">
        <f>SUM(AE4:AE20)</f>
        <v>7940</v>
      </c>
      <c r="AF21" s="87">
        <f>SUM(AF4:AF20)</f>
        <v>27976.970999999998</v>
      </c>
      <c r="AG21" s="35">
        <f>IFERROR(AE21/AF21,"")</f>
        <v>0.28380484792295779</v>
      </c>
      <c r="AH21" s="35"/>
      <c r="AI21" s="24"/>
      <c r="AJ21" s="184" t="s">
        <v>69</v>
      </c>
      <c r="AK21" s="180">
        <f>SUM(AK4:AK20)</f>
        <v>16527</v>
      </c>
      <c r="AL21" s="180">
        <f>SUM(AL4:AL20)</f>
        <v>20479</v>
      </c>
      <c r="AM21" s="35">
        <f>IFERROR(AK21/AL21,"")</f>
        <v>0.80702182723765814</v>
      </c>
      <c r="AN21" s="35"/>
      <c r="AO21" s="24"/>
      <c r="AP21" s="184" t="s">
        <v>69</v>
      </c>
      <c r="AQ21" s="180">
        <f>SUM(AQ4:AQ20)</f>
        <v>22194</v>
      </c>
      <c r="AR21" s="87">
        <f>SUM(AR4:AR20)</f>
        <v>63384.646999999997</v>
      </c>
      <c r="AS21" s="35">
        <f>IFERROR(AQ21/AR21,"")</f>
        <v>0.35014788360342214</v>
      </c>
      <c r="AT21" s="35"/>
      <c r="AU21" s="24"/>
      <c r="AV21" s="184" t="s">
        <v>69</v>
      </c>
      <c r="AW21" s="87">
        <f>SUM(AW4:AW20)</f>
        <v>460</v>
      </c>
      <c r="AX21" s="87">
        <f>SUM(AX4:AX20)</f>
        <v>786</v>
      </c>
      <c r="AY21" s="35">
        <f>IFERROR(AW21/AX21,"")</f>
        <v>0.58524173027989823</v>
      </c>
      <c r="AZ21" s="35"/>
      <c r="BA21" s="24"/>
      <c r="BB21" s="184" t="s">
        <v>69</v>
      </c>
      <c r="BC21" s="180">
        <f>SUM(BC4:BC20)</f>
        <v>5864</v>
      </c>
      <c r="BD21" s="180">
        <f>SUM(BD4:BD20)</f>
        <v>37338</v>
      </c>
      <c r="BE21" s="35">
        <f>IFERROR(BC21/BD21,"")</f>
        <v>0.15705179709679148</v>
      </c>
      <c r="BF21" s="38"/>
      <c r="BG21" s="24"/>
      <c r="BH21" s="24"/>
      <c r="BI21" s="34" t="s">
        <v>69</v>
      </c>
      <c r="BJ21" s="87">
        <f>SUM(BJ4:BJ20)</f>
        <v>0</v>
      </c>
      <c r="BK21" s="87">
        <f>SUM(BK4:BK20)</f>
        <v>0</v>
      </c>
      <c r="BL21" s="35" t="str">
        <f>IFERROR(BJ21/BK21,"")</f>
        <v/>
      </c>
      <c r="BM21" s="33"/>
      <c r="BN21" s="33"/>
      <c r="BO21" s="22"/>
      <c r="BP21" s="32"/>
      <c r="BQ21" s="31"/>
      <c r="BR21" s="69">
        <v>90</v>
      </c>
      <c r="DB21"/>
    </row>
    <row r="22" spans="1:148" ht="15" outlineLevel="2" x14ac:dyDescent="0.25">
      <c r="A22" s="156" t="s">
        <v>2</v>
      </c>
      <c r="B22" s="46" t="s">
        <v>30</v>
      </c>
      <c r="C22" s="46" t="s">
        <v>68</v>
      </c>
      <c r="D22" s="45"/>
      <c r="E22" s="21">
        <v>0.9</v>
      </c>
      <c r="F22" s="140">
        <f>SUM('[1]117307'!$J$26:$M$26)+SUM('[1]117307'!$J$28:$M$28)+SUM('[1]117451'!$J$26:$M$26)+SUM('[1]117451'!$J$28:$M$28)+SUM('[1]117452'!$J$26:$M$26)+SUM('[1]117452'!$J$28:$M$28)</f>
        <v>4</v>
      </c>
      <c r="G22" s="140">
        <f>SUM('[2]117307'!$J$22:$M$22)+SUM('[3]117307'!$J$22:$M$22)+SUM('[4]117307'!$J$22:$M$22)+SUM('[1]117307'!$J$23:$M$23)+SUM('[2]117451'!$J$22:$M$22)+SUM('[3]117451'!$J$22:$M$22)+SUM('[4]117451'!$J$22:$M$22)+SUM('[1]117451'!$J$23:$M$23)+SUM('[2]117452'!$J$22:$M$22)+SUM('[3]117452'!$J$22:$M$22)+SUM('[4]117452'!$J$22:$M$22)+SUM('[1]117452'!$J$23:$M$23)-(SUM('[2]117307'!$J$39:$M$39)+SUM('[3]117307'!$J$39:$M$39)+SUM('[4]117307'!$J$39:$M$39)+SUM('[1]117307'!$J$40:$M$40)+SUM('[2]117451'!$J$39:$M$39)+SUM('[3]117451'!$J$39:$M$39)+SUM('[4]117451'!$J$39:$M$39)+SUM('[1]117451'!$J$40:$M$40)+SUM('[2]117452'!$J$39:$M$39)+SUM('[3]117452'!$J$39:$M$39)+SUM('[4]117452'!$J$39:$M$39)+SUM('[1]117452'!$J$40:$M$40))</f>
        <v>6</v>
      </c>
      <c r="H22" s="142">
        <f t="shared" ref="H22:H28" si="44">IF(E22="aut",100%,IF(G22=0,100%,F22/G22))</f>
        <v>0.66666666666666663</v>
      </c>
      <c r="I22" s="143">
        <f t="shared" ref="I22:I28" si="45">IF(E22="aut",$C$2,IF(H22&gt;=E22,$C$2,((H22/E22)*$C$2)))</f>
        <v>9.2592592592592595</v>
      </c>
      <c r="J22" s="37"/>
      <c r="K22" s="23">
        <v>0.9</v>
      </c>
      <c r="L22" s="198">
        <f>SUM('[5]117307'!$B$11:$B$18)+SUM('[5]117451'!$B$11:$B$18)+SUM('[5]117452'!$B$11:$B$18)</f>
        <v>945</v>
      </c>
      <c r="M22" s="175">
        <v>1040.24</v>
      </c>
      <c r="N22" s="142">
        <f t="shared" ref="N22:N28" si="46">IF(K22="aut",100%,IF(M22=0,100%,L22/M22))</f>
        <v>0.90844420518341917</v>
      </c>
      <c r="O22" s="143">
        <f t="shared" ref="O22:O28" si="47">IF(K22="aut",$C$2,IF(N22&gt;=K22,$C$2,((N22/K22)*$C$2)))</f>
        <v>12.5</v>
      </c>
      <c r="P22" s="37"/>
      <c r="Q22" s="21">
        <v>0.41</v>
      </c>
      <c r="R22" s="140">
        <f>SUM('[1]117307'!$F$205:$Y$205)+SUM('[1]117451'!$F$205:$Y$205)+SUM('[1]117452'!$F$205:$Y$205)</f>
        <v>102</v>
      </c>
      <c r="S22" s="175">
        <v>448</v>
      </c>
      <c r="T22" s="142">
        <f t="shared" ref="T22:T28" si="48">IF(Q22="aut",100%,IF(S22=0,100%,R22/S22))</f>
        <v>0.22767857142857142</v>
      </c>
      <c r="U22" s="143">
        <f t="shared" si="29"/>
        <v>3.4707099303135891</v>
      </c>
      <c r="V22" s="37"/>
      <c r="W22" s="183">
        <v>0.16</v>
      </c>
      <c r="X22" s="140">
        <f>SUM('[6]117307'!$S$48+'[6]117307'!$T$48)+SUM('[6]117451'!$S$48+'[6]117451'!$T$48)+SUM('[6]117452'!$S$48+'[6]117452'!$T$48)</f>
        <v>5</v>
      </c>
      <c r="Y22" s="175">
        <v>54</v>
      </c>
      <c r="Z22" s="142">
        <f t="shared" si="30"/>
        <v>9.2592592592592587E-2</v>
      </c>
      <c r="AA22" s="143">
        <f t="shared" ref="AA22:AA28" si="49">IF(W22="aut",($C$2/2),IF(Z22&gt;=W22,$C$2/2,((Z22/W22)*$C$2/2)))</f>
        <v>3.6168981481481475</v>
      </c>
      <c r="AB22" s="43">
        <f t="shared" si="31"/>
        <v>7.0876080784617361</v>
      </c>
      <c r="AC22" s="37"/>
      <c r="AD22" s="183">
        <v>0.27825291356556126</v>
      </c>
      <c r="AE22" s="175">
        <f>'[7]117307'!$C$36+'[7]117307'!$C$37+'[7]117451'!$C$36+'[7]117451'!$C$37+'[7]117452'!$C$36+'[7]117452'!$C$37</f>
        <v>187</v>
      </c>
      <c r="AF22" s="175">
        <v>763.86899999999991</v>
      </c>
      <c r="AG22" s="142">
        <f t="shared" si="6"/>
        <v>0.24480637386777054</v>
      </c>
      <c r="AH22" s="143">
        <f t="shared" ref="AH22:AH28" si="50">IF(AD22="aut",$C$2,IF(AG22&gt;=AD22,$C$2,((AG22/AD22)*$C$2)))</f>
        <v>10.997475764530041</v>
      </c>
      <c r="AI22" s="37"/>
      <c r="AJ22" s="183">
        <v>0.9</v>
      </c>
      <c r="AK22" s="175">
        <f>'[7]117307'!$C$63+'[7]117307'!$C$64+'[7]117307'!$C$61+'[7]117307'!$C$62+'[7]117451'!$C$63+'[7]117451'!$C$64+'[7]117451'!$C$61+'[7]117451'!$C$62+'[7]117452'!$C$63+'[7]117452'!$C$64+'[7]117452'!$C$61+'[7]117452'!$C$62</f>
        <v>432</v>
      </c>
      <c r="AL22" s="175">
        <f>'[7]117307'!$C$17+'[7]117451'!$C$17+'[7]117452'!$C$17</f>
        <v>501</v>
      </c>
      <c r="AM22" s="142">
        <f t="shared" si="8"/>
        <v>0.86227544910179643</v>
      </c>
      <c r="AN22" s="143">
        <f t="shared" ref="AN22:AN28" si="51">IF(AJ22="aut",$C$2,IF(AM22&gt;=AJ22,$C$2,((AM22/AJ22)*$C$2)))</f>
        <v>11.976047904191617</v>
      </c>
      <c r="AO22" s="37"/>
      <c r="AP22" s="183">
        <v>0.49120950580711026</v>
      </c>
      <c r="AQ22" s="140">
        <f>'[7]117307'!$C$35+'[7]117307'!$C$34+'[7]117451'!$C$35+'[7]117451'!$C$34+'[7]117452'!$C$35+'[7]117452'!$C$34</f>
        <v>788</v>
      </c>
      <c r="AR22" s="175">
        <v>1754.3310000000001</v>
      </c>
      <c r="AS22" s="142">
        <f t="shared" si="10"/>
        <v>0.44917407262369524</v>
      </c>
      <c r="AT22" s="143">
        <f t="shared" ref="AT22:AT28" si="52">IF(AP22="aut",$C$2,IF(AS22&gt;=AP22,$C$2,((AS22/AP22)*$C$2)))</f>
        <v>11.430307926493954</v>
      </c>
      <c r="AU22" s="37"/>
      <c r="AV22" s="183">
        <v>0.7</v>
      </c>
      <c r="AW22" s="140">
        <f>SUM('[1]117307'!$H$61)+SUM('[1]117451'!$H$61)+SUM('[1]117452'!$H$61)</f>
        <v>13</v>
      </c>
      <c r="AX22" s="140">
        <f>SUM('[1]117307'!$H$67)+SUM('[1]117451'!$H$67)+SUM('[1]117452'!$H$67)</f>
        <v>16</v>
      </c>
      <c r="AY22" s="142">
        <f t="shared" si="12"/>
        <v>0.8125</v>
      </c>
      <c r="AZ22" s="143">
        <f t="shared" ref="AZ22:AZ28" si="53">IF(AV22="aut",$C$2,IF(AY22&gt;=AV22,$C$2,((AY22/AV22)*$C$2)))</f>
        <v>12.5</v>
      </c>
      <c r="BA22" s="37"/>
      <c r="BB22" s="23">
        <v>0.1</v>
      </c>
      <c r="BC22" s="175">
        <f>SUM('[8]117307'!$H$59:$AM$59)+SUM('[8]117307'!$C$63)+SUM('[8]117451'!$H$59:$AM$59)+SUM('[8]117451'!$C$63)+SUM('[8]117452'!$H$59:$AM$59)+SUM('[8]117452'!$C$63)</f>
        <v>240</v>
      </c>
      <c r="BD22" s="175">
        <v>928</v>
      </c>
      <c r="BE22" s="142">
        <f>IF(BB22="aut",100%,IF(BD22=0,100%,BC22/BD22))</f>
        <v>0.25862068965517243</v>
      </c>
      <c r="BF22" s="143">
        <f>IF(BB22="aut",$C$2/2,IF(BE22&gt;=BB22,$C$2/2,0%))</f>
        <v>6.25</v>
      </c>
      <c r="BG22" s="37"/>
      <c r="BH22" s="37"/>
      <c r="BI22" s="23">
        <v>1</v>
      </c>
      <c r="BJ22" s="140"/>
      <c r="BK22" s="140"/>
      <c r="BL22" s="142">
        <f t="shared" ref="BL22:BL28" si="54">IF(BI22="aut",100%,IF(BK22=0,100%,BJ22/BK22))</f>
        <v>1</v>
      </c>
      <c r="BM22" s="143">
        <f t="shared" ref="BM22:BM28" si="55">IF(BI22="aut",$C$2/2,IF(BL22&gt;=BI22,$C$2/2,0%))</f>
        <v>6.25</v>
      </c>
      <c r="BN22" s="42"/>
      <c r="BO22" s="22"/>
      <c r="BP22" s="141">
        <f>+BM22+BF22+AZ22+AT22+AN22+AH22+AB22+O22+I22</f>
        <v>88.250698932936615</v>
      </c>
      <c r="BQ22" s="41" t="str">
        <f t="shared" ref="BQ22:BQ28" si="56">IF(BP22&gt;=90,"Tramo 1: 100% C. Variable",IF(AND(BP22&gt;=75,BP22&lt;90),"Tramo 2: 50% C. Variable",IF(BP22&lt;75,"Tramo 3: Sin Asig. C. Variable")))</f>
        <v>Tramo 2: 50% C. Variable</v>
      </c>
      <c r="BR22" s="69">
        <v>90</v>
      </c>
      <c r="DB22"/>
    </row>
    <row r="23" spans="1:148" ht="15" outlineLevel="2" x14ac:dyDescent="0.25">
      <c r="A23" s="156" t="s">
        <v>3</v>
      </c>
      <c r="B23" s="46" t="s">
        <v>53</v>
      </c>
      <c r="C23" s="46" t="s">
        <v>68</v>
      </c>
      <c r="D23" s="45"/>
      <c r="E23" s="21">
        <v>0.9</v>
      </c>
      <c r="F23" s="140">
        <f>SUM('[1]117439'!$J$26:$M$26)+SUM('[1]117439'!$J$28:$M$28)+SUM('[1]117442'!$J$26:$M$26)+SUM('[1]117442'!$J$28:$M$28)+SUM('[1]117445'!$J$26:$M$26)+SUM('[1]117445'!$J$28:$M$28)</f>
        <v>0</v>
      </c>
      <c r="G23" s="140">
        <f>SUM('[2]117439'!$J$22:$M$22)+SUM('[3]117439'!$J$22:$M$22)+SUM('[4]117439'!$J$22:$M$22)+SUM('[1]117439'!$J$23:$M$23)+SUM('[2]117442'!$J$22:$M$22)+SUM('[3]117442'!$J$22:$M$22)+SUM('[4]117442'!$J$22:$M$22)+SUM('[1]117442'!$J$23:$M$23)+SUM('[2]117445'!$J$22:$M$22)+SUM('[3]117445'!$J$22:$M$22)+SUM('[4]117445'!$J$22:$M$22)+SUM('[1]117445'!$J$23:$M$23)-(SUM('[2]117439'!$J$39:$M$39)+SUM('[3]117439'!$J$39:$M$39)+SUM('[4]117439'!$J$39:$M$39)+SUM('[1]117439'!$J$40:$M$40)+SUM('[2]117442'!$J$39:$M$39)+SUM('[3]117442'!$J$39:$M$39)+SUM('[4]117442'!$J$39:$M$39)+SUM('[1]117442'!$J$40:$M$40)+SUM('[2]117445'!$J$39:$M$39)+SUM('[3]117445'!$J$39:$M$39)+SUM('[4]117445'!$J$39:$M$39)+SUM('[1]117445'!$J$40:$M$40))</f>
        <v>6</v>
      </c>
      <c r="H23" s="142">
        <f t="shared" si="44"/>
        <v>0</v>
      </c>
      <c r="I23" s="143">
        <f t="shared" si="45"/>
        <v>0</v>
      </c>
      <c r="J23" s="37"/>
      <c r="K23" s="23">
        <v>0.9</v>
      </c>
      <c r="L23" s="198">
        <f>SUM('[5]117439'!$B$11:$B$18)+SUM('[5]117442'!$B$11:$B$18)+SUM('[5]117445'!$B$11:$B$18)</f>
        <v>444</v>
      </c>
      <c r="M23" s="175">
        <v>507.28000000000003</v>
      </c>
      <c r="N23" s="142">
        <f t="shared" si="46"/>
        <v>0.87525626872732998</v>
      </c>
      <c r="O23" s="143">
        <f t="shared" si="47"/>
        <v>12.156337065657361</v>
      </c>
      <c r="P23" s="37"/>
      <c r="Q23" s="21">
        <v>0.41</v>
      </c>
      <c r="R23" s="140">
        <f>SUM('[1]117439'!$F$205:$Y$205)+SUM('[1]117442'!$F$205:$Y$205)+SUM('[1]117445'!$F$205:$Y$205)</f>
        <v>96</v>
      </c>
      <c r="S23" s="175">
        <v>229</v>
      </c>
      <c r="T23" s="142">
        <f t="shared" si="48"/>
        <v>0.41921397379912662</v>
      </c>
      <c r="U23" s="143">
        <f t="shared" si="29"/>
        <v>6.25</v>
      </c>
      <c r="V23" s="37"/>
      <c r="W23" s="183">
        <v>0.16</v>
      </c>
      <c r="X23" s="140">
        <f>SUM('[6]117439'!$S$48+'[6]117439'!$T$48)+SUM('[6]117442'!$S$48+'[6]117442'!$T$48)+SUM('[6]117445'!$S$48+'[6]117445'!$T$48)</f>
        <v>13</v>
      </c>
      <c r="Y23" s="175">
        <v>25</v>
      </c>
      <c r="Z23" s="142">
        <f t="shared" si="30"/>
        <v>0.52</v>
      </c>
      <c r="AA23" s="143">
        <f t="shared" si="49"/>
        <v>6.25</v>
      </c>
      <c r="AB23" s="43">
        <f t="shared" si="31"/>
        <v>12.5</v>
      </c>
      <c r="AC23" s="37"/>
      <c r="AD23" s="183">
        <v>0.28387324489013693</v>
      </c>
      <c r="AE23" s="175">
        <f>'[7]117439'!$C$36+'[7]117439'!$C$37+'[7]117442'!$C$36+'[7]117442'!$C$37+'[7]117445'!$C$36+'[7]117445'!$C$37</f>
        <v>103</v>
      </c>
      <c r="AF23" s="175">
        <v>392.12699999999995</v>
      </c>
      <c r="AG23" s="142">
        <f t="shared" si="6"/>
        <v>0.26267000232067678</v>
      </c>
      <c r="AH23" s="143">
        <f t="shared" si="50"/>
        <v>11.566341978720725</v>
      </c>
      <c r="AI23" s="37"/>
      <c r="AJ23" s="183">
        <v>0.87042553191489358</v>
      </c>
      <c r="AK23" s="175">
        <f>'[7]117439'!$C$63+'[7]117439'!$C$64+'[7]117439'!$C$61+'[7]117439'!$C$62+'[7]117442'!$C$63+'[7]117442'!$C$64+'[7]117442'!$C$61+'[7]117442'!$C$62+'[7]117445'!$C$63+'[7]117445'!$C$64+'[7]117445'!$C$61+'[7]117445'!$C$62</f>
        <v>224</v>
      </c>
      <c r="AL23" s="175">
        <f>'[7]117439'!$C$17+'[7]117442'!$C$17+'[7]117445'!$C$17</f>
        <v>300</v>
      </c>
      <c r="AM23" s="142">
        <f t="shared" si="8"/>
        <v>0.7466666666666667</v>
      </c>
      <c r="AN23" s="143">
        <f t="shared" si="51"/>
        <v>10.722724680192293</v>
      </c>
      <c r="AO23" s="37"/>
      <c r="AP23" s="183">
        <v>0.49051871504487737</v>
      </c>
      <c r="AQ23" s="140">
        <f>'[7]117439'!$C$35+'[7]117439'!$C$34+'[7]117442'!$C$35+'[7]117442'!$C$34+'[7]117445'!$C$35+'[7]117445'!$C$34</f>
        <v>371</v>
      </c>
      <c r="AR23" s="175">
        <v>901.55200000000002</v>
      </c>
      <c r="AS23" s="142">
        <f t="shared" si="10"/>
        <v>0.41151259161978454</v>
      </c>
      <c r="AT23" s="143">
        <f t="shared" si="52"/>
        <v>10.486668984233747</v>
      </c>
      <c r="AU23" s="37"/>
      <c r="AV23" s="183">
        <v>0.26</v>
      </c>
      <c r="AW23" s="140">
        <f>SUM('[1]117439'!$H$61)+SUM('[1]117442'!$H$61)+SUM('[1]117445'!$H$61)</f>
        <v>0</v>
      </c>
      <c r="AX23" s="140">
        <f>SUM('[1]117439'!$H$67)+SUM('[1]117442'!$H$67)+SUM('[1]117445'!$H$67)</f>
        <v>0</v>
      </c>
      <c r="AY23" s="142">
        <f t="shared" si="12"/>
        <v>1</v>
      </c>
      <c r="AZ23" s="143">
        <f t="shared" si="53"/>
        <v>12.5</v>
      </c>
      <c r="BA23" s="37"/>
      <c r="BB23" s="23">
        <v>0.1</v>
      </c>
      <c r="BC23" s="175">
        <f>SUM('[8]117439'!$H$59:$AM$59)+SUM('[8]117439'!$C$63)+SUM('[8]117442'!$H$59:$AM$59)+SUM('[8]117442'!$C$63)+SUM('[8]117445'!$H$59:$AM$59)+SUM('[8]117445'!$C$63)</f>
        <v>71</v>
      </c>
      <c r="BD23" s="175">
        <v>478</v>
      </c>
      <c r="BE23" s="142">
        <f t="shared" ref="BE23:BE36" si="57">IF(BB23="aut",100%,IF(BD23=0,100%,BC23/BD23))</f>
        <v>0.14853556485355648</v>
      </c>
      <c r="BF23" s="143">
        <f t="shared" ref="BF23:BF28" si="58">IF(BB23="aut",$C$2/2,IF(BE23&gt;=BB23,$C$2/2,0%))</f>
        <v>6.25</v>
      </c>
      <c r="BG23" s="37"/>
      <c r="BH23" s="37"/>
      <c r="BI23" s="23">
        <v>1</v>
      </c>
      <c r="BJ23" s="140"/>
      <c r="BK23" s="140"/>
      <c r="BL23" s="142">
        <f t="shared" si="54"/>
        <v>1</v>
      </c>
      <c r="BM23" s="143">
        <f t="shared" si="55"/>
        <v>6.25</v>
      </c>
      <c r="BN23" s="42"/>
      <c r="BO23" s="22"/>
      <c r="BP23" s="141">
        <f t="shared" ref="BP23:BP28" si="59">+BM23+BF23+AZ23+AT23+AN23+AH23+AB23+O23+I23</f>
        <v>82.432072708804128</v>
      </c>
      <c r="BQ23" s="41" t="str">
        <f t="shared" si="56"/>
        <v>Tramo 2: 50% C. Variable</v>
      </c>
      <c r="BR23" s="69">
        <v>90</v>
      </c>
      <c r="DB23"/>
    </row>
    <row r="24" spans="1:148" ht="15" outlineLevel="2" x14ac:dyDescent="0.25">
      <c r="A24" s="156" t="s">
        <v>11</v>
      </c>
      <c r="B24" s="46" t="s">
        <v>33</v>
      </c>
      <c r="C24" s="46" t="s">
        <v>68</v>
      </c>
      <c r="D24" s="45"/>
      <c r="E24" s="21">
        <v>0.9</v>
      </c>
      <c r="F24" s="140">
        <f>SUM('[1]117314'!$J$26:$M$26)+SUM('[1]117314'!$J$28:$M$28)+SUM('[1]117433'!$J$26:$M$26)+SUM('[1]117433'!$J$28:$M$28)+SUM('[1]117463'!$J$26:$M$26)+SUM('[1]117463'!$J$28:$M$28)</f>
        <v>0</v>
      </c>
      <c r="G24" s="140">
        <f>SUM('[2]117314'!$J$22:$M$22)+SUM('[3]117314'!$J$22:$M$22)+SUM('[4]117314'!$J$22:$M$22)+SUM('[1]117314'!$J$23:$M$23)+SUM('[2]117433'!$J$22:$M$22)+SUM('[3]117433'!$J$22:$M$22)+SUM('[4]117433'!$J$22:$M$22)+SUM('[1]117433'!$J$23:$M$23)+SUM('[2]117463'!$J$22:$M$22)+SUM('[3]117463'!$J$22:$M$22)+SUM('[4]117463'!$J$22:$M$22)+SUM('[1]117463'!$J$23:$M$23)-(SUM('[2]117314'!$J$39:$M$39)+SUM('[3]117314'!$J$39:$M$39)+SUM('[4]117314'!$J$39:$M$39)+SUM('[1]117314'!$J$40:$M$40)+SUM('[2]117433'!$J$39:$M$39)+SUM('[3]117433'!$J$39:$M$39)+SUM('[4]117433'!$J$39:$M$39)+SUM('[1]117433'!$J$40:$M$40)+SUM('[2]117463'!$J$39:$M$39)+SUM('[3]117463'!$J$39:$M$39)+SUM('[4]117463'!$J$39:$M$39)+SUM('[1]117463'!$J$40:$M$40))</f>
        <v>1</v>
      </c>
      <c r="H24" s="142">
        <f t="shared" si="44"/>
        <v>0</v>
      </c>
      <c r="I24" s="143">
        <f t="shared" si="45"/>
        <v>0</v>
      </c>
      <c r="J24" s="37"/>
      <c r="K24" s="23">
        <v>0.9</v>
      </c>
      <c r="L24" s="198">
        <f>SUM('[5]117314'!$B$11:$B$18)+SUM('[5]117433'!$B$11:$B$18)+SUM('[5]117463'!$B$11:$B$18)</f>
        <v>1178</v>
      </c>
      <c r="M24" s="175">
        <v>1215.8</v>
      </c>
      <c r="N24" s="142">
        <f t="shared" si="46"/>
        <v>0.96890936009212048</v>
      </c>
      <c r="O24" s="143">
        <f t="shared" si="47"/>
        <v>12.5</v>
      </c>
      <c r="P24" s="37"/>
      <c r="Q24" s="21">
        <v>0.41</v>
      </c>
      <c r="R24" s="140">
        <f>SUM('[1]117314'!$F$205:$Y$205)+SUM('[1]117433'!$F$205:$Y$205)+SUM('[1]117463'!$F$205:$Y$205)</f>
        <v>168</v>
      </c>
      <c r="S24" s="175">
        <v>459</v>
      </c>
      <c r="T24" s="142">
        <f t="shared" si="48"/>
        <v>0.36601307189542481</v>
      </c>
      <c r="U24" s="143">
        <f t="shared" si="29"/>
        <v>5.5794675593814764</v>
      </c>
      <c r="V24" s="37"/>
      <c r="W24" s="183">
        <v>0.16</v>
      </c>
      <c r="X24" s="140">
        <f>SUM('[6]117314'!$S$48+'[6]117314'!$T$48)+SUM('[6]117433'!$S$48+'[6]117433'!$T$48)+SUM('[6]117463'!$S$48+'[6]117463'!$T$48)</f>
        <v>17</v>
      </c>
      <c r="Y24" s="175">
        <v>47</v>
      </c>
      <c r="Z24" s="142">
        <f t="shared" si="30"/>
        <v>0.36170212765957449</v>
      </c>
      <c r="AA24" s="143">
        <f t="shared" si="49"/>
        <v>6.25</v>
      </c>
      <c r="AB24" s="43">
        <f t="shared" si="31"/>
        <v>11.829467559381477</v>
      </c>
      <c r="AC24" s="37"/>
      <c r="AD24" s="183">
        <v>0.426240790852638</v>
      </c>
      <c r="AE24" s="175">
        <f>'[7]117314'!$C$36+'[7]117314'!$C$37+'[7]117433'!$C$36+'[7]117433'!$C$37+'[7]117463'!$C$36+'[7]117463'!$C$37</f>
        <v>347</v>
      </c>
      <c r="AF24" s="175">
        <v>776.63099999999997</v>
      </c>
      <c r="AG24" s="142">
        <f t="shared" si="6"/>
        <v>0.44680163423813885</v>
      </c>
      <c r="AH24" s="143">
        <f t="shared" si="50"/>
        <v>12.5</v>
      </c>
      <c r="AI24" s="37"/>
      <c r="AJ24" s="183">
        <v>0.88617128463476069</v>
      </c>
      <c r="AK24" s="175">
        <f>'[7]117314'!$C$63+'[7]117314'!$C$64+'[7]117314'!$C$61+'[7]117314'!$C$62+'[7]117433'!$C$63+'[7]117433'!$C$64+'[7]117433'!$C$61+'[7]117433'!$C$62+'[7]117463'!$C$63+'[7]117463'!$C$64+'[7]117463'!$C$61+'[7]117463'!$C$62</f>
        <v>751</v>
      </c>
      <c r="AL24" s="175">
        <f>'[7]117314'!$C$17+'[7]117433'!$C$17+'[7]117463'!$C$17</f>
        <v>834</v>
      </c>
      <c r="AM24" s="142">
        <f t="shared" si="8"/>
        <v>0.90047961630695439</v>
      </c>
      <c r="AN24" s="143">
        <f t="shared" si="51"/>
        <v>12.5</v>
      </c>
      <c r="AO24" s="37"/>
      <c r="AP24" s="183">
        <v>0.55970191487097998</v>
      </c>
      <c r="AQ24" s="140">
        <f>'[7]117314'!$C$35+'[7]117314'!$C$34+'[7]117433'!$C$35+'[7]117433'!$C$34+'[7]117463'!$C$35+'[7]117463'!$C$34</f>
        <v>905</v>
      </c>
      <c r="AR24" s="175">
        <v>1786.4259999999999</v>
      </c>
      <c r="AS24" s="142">
        <f t="shared" si="10"/>
        <v>0.50659809026514391</v>
      </c>
      <c r="AT24" s="143">
        <f t="shared" si="52"/>
        <v>11.314015478710724</v>
      </c>
      <c r="AU24" s="37"/>
      <c r="AV24" s="183">
        <v>0.57166666666666666</v>
      </c>
      <c r="AW24" s="140">
        <f>SUM('[1]117314'!$H$61)+SUM('[1]117433'!$H$61)+SUM('[1]117463'!$H$61)</f>
        <v>15</v>
      </c>
      <c r="AX24" s="140">
        <f>SUM('[1]117314'!$H$67)+SUM('[1]117433'!$H$67)+SUM('[1]117463'!$H$67)</f>
        <v>22</v>
      </c>
      <c r="AY24" s="142">
        <f t="shared" si="12"/>
        <v>0.68181818181818177</v>
      </c>
      <c r="AZ24" s="143">
        <f t="shared" si="53"/>
        <v>12.5</v>
      </c>
      <c r="BA24" s="37"/>
      <c r="BB24" s="23">
        <v>0.1</v>
      </c>
      <c r="BC24" s="175">
        <f>SUM('[8]117314'!$H$59:$AM$59)+SUM('[8]117314'!$C$63)+SUM('[8]117433'!$H$59:$AM$59)+SUM('[8]117433'!$C$63)+SUM('[8]117463'!$H$59:$AM$59)+SUM('[8]117463'!$C$63)</f>
        <v>0</v>
      </c>
      <c r="BD24" s="175">
        <v>946</v>
      </c>
      <c r="BE24" s="142">
        <f t="shared" si="57"/>
        <v>0</v>
      </c>
      <c r="BF24" s="143">
        <f t="shared" si="58"/>
        <v>0</v>
      </c>
      <c r="BG24" s="37"/>
      <c r="BH24" s="37"/>
      <c r="BI24" s="23">
        <v>1</v>
      </c>
      <c r="BJ24" s="140"/>
      <c r="BK24" s="140"/>
      <c r="BL24" s="142">
        <f t="shared" si="54"/>
        <v>1</v>
      </c>
      <c r="BM24" s="143">
        <f t="shared" si="55"/>
        <v>6.25</v>
      </c>
      <c r="BN24" s="42"/>
      <c r="BO24" s="22"/>
      <c r="BP24" s="141">
        <f t="shared" si="59"/>
        <v>79.393483038092199</v>
      </c>
      <c r="BQ24" s="41" t="str">
        <f t="shared" si="56"/>
        <v>Tramo 2: 50% C. Variable</v>
      </c>
      <c r="BR24" s="69">
        <v>90</v>
      </c>
      <c r="DB24"/>
    </row>
    <row r="25" spans="1:148" ht="15" outlineLevel="2" x14ac:dyDescent="0.25">
      <c r="A25" s="156" t="s">
        <v>15</v>
      </c>
      <c r="B25" s="46" t="s">
        <v>43</v>
      </c>
      <c r="C25" s="46" t="s">
        <v>68</v>
      </c>
      <c r="D25" s="45"/>
      <c r="E25" s="21">
        <v>0.9</v>
      </c>
      <c r="F25" s="140">
        <f>SUM('[1]117305'!$J$26:$M$26)+SUM('[1]117305'!$J$28:$M$28)+SUM('[1]117447'!$J$26:$M$26)+SUM('[1]117447'!$J$28:$M$28)+SUM('[1]117459'!$J$26:$M$26)+SUM('[1]117459'!$J$28:$M$28)</f>
        <v>0</v>
      </c>
      <c r="G25" s="140">
        <f>SUM('[2]117305'!$J$22:$M$22)+SUM('[3]117305'!$J$22:$M$22)+SUM('[4]117305'!$J$22:$M$22)+SUM('[1]117305'!$J$23:$M$23)+SUM('[2]117447'!$J$22:$M$22)+SUM('[3]117447'!$J$22:$M$22)+SUM('[4]117447'!$J$22:$M$22)+SUM('[1]117447'!$J$23:$M$23)+SUM('[2]117459'!$J$22:$M$22)+SUM('[3]117459'!$J$22:$M$22)+SUM('[4]117459'!$J$22:$M$22)+SUM('[1]117459'!$J$23:$M$23)-(SUM('[2]117305'!$J$39:$M$39)+SUM('[3]117305'!$J$39:$M$39)+SUM('[4]117305'!$J$39:$M$39)+SUM('[1]117305'!$J$40:$M$40)+SUM('[2]117447'!$J$39:$M$39)+SUM('[3]117447'!$J$39:$M$39)+SUM('[4]117447'!$J$39:$M$39)+SUM('[1]117447'!$J$40:$M$40)+SUM('[2]117459'!$J$39:$M$39)+SUM('[3]117459'!$J$39:$M$39)+SUM('[4]117459'!$J$39:$M$39)+SUM('[1]117459'!$J$40:$M$40))</f>
        <v>0</v>
      </c>
      <c r="H25" s="142">
        <f t="shared" si="44"/>
        <v>1</v>
      </c>
      <c r="I25" s="143">
        <f t="shared" si="45"/>
        <v>12.5</v>
      </c>
      <c r="J25" s="37"/>
      <c r="K25" s="23">
        <v>0.9</v>
      </c>
      <c r="L25" s="198">
        <f>SUM('[5]117305'!$B$11:$B$18)+SUM('[5]117447'!$B$11:$B$18)+SUM('[5]117459'!$B$11:$B$18)</f>
        <v>1070</v>
      </c>
      <c r="M25" s="175">
        <v>1122.92</v>
      </c>
      <c r="N25" s="142">
        <f t="shared" si="46"/>
        <v>0.95287286716774122</v>
      </c>
      <c r="O25" s="143">
        <f t="shared" si="47"/>
        <v>12.5</v>
      </c>
      <c r="P25" s="37"/>
      <c r="Q25" s="21">
        <v>0.41</v>
      </c>
      <c r="R25" s="140">
        <f>SUM('[1]117305'!$F$205:$Y$205)+SUM('[1]117447'!$F$205:$Y$205)+SUM('[1]117459'!$F$205:$Y$205)</f>
        <v>158</v>
      </c>
      <c r="S25" s="175">
        <v>410</v>
      </c>
      <c r="T25" s="142">
        <f t="shared" si="48"/>
        <v>0.38536585365853659</v>
      </c>
      <c r="U25" s="143">
        <f t="shared" si="29"/>
        <v>5.8744794765020831</v>
      </c>
      <c r="V25" s="37"/>
      <c r="W25" s="183">
        <v>0.16</v>
      </c>
      <c r="X25" s="140">
        <f>SUM('[6]117305'!$S$48+'[6]117305'!$T$48)+SUM('[6]117447'!$S$48+'[6]117447'!$T$48)+SUM('[6]117459'!$S$48+'[6]117459'!$T$48)</f>
        <v>7</v>
      </c>
      <c r="Y25" s="175">
        <v>48</v>
      </c>
      <c r="Z25" s="142">
        <f t="shared" si="30"/>
        <v>0.14583333333333334</v>
      </c>
      <c r="AA25" s="143">
        <f t="shared" si="49"/>
        <v>5.6966145833333339</v>
      </c>
      <c r="AB25" s="43">
        <f t="shared" si="31"/>
        <v>11.571094059835417</v>
      </c>
      <c r="AC25" s="37"/>
      <c r="AD25" s="183">
        <v>0.54191266649553638</v>
      </c>
      <c r="AE25" s="175">
        <f>'[7]117305'!$C$36+'[7]117305'!$C$37+'[7]117447'!$C$36+'[7]117447'!$C$37+'[7]117459'!$C$36+'[7]117459'!$C$37</f>
        <v>234</v>
      </c>
      <c r="AF25" s="175">
        <v>717.34799999999996</v>
      </c>
      <c r="AG25" s="142">
        <f t="shared" si="6"/>
        <v>0.32620150889108218</v>
      </c>
      <c r="AH25" s="143">
        <f t="shared" si="50"/>
        <v>7.524309936335678</v>
      </c>
      <c r="AI25" s="37"/>
      <c r="AJ25" s="183">
        <v>0.89141145139813593</v>
      </c>
      <c r="AK25" s="175">
        <f>'[7]117305'!$C$63+'[7]117305'!$C$64+'[7]117305'!$C$61+'[7]117305'!$C$62+'[7]117447'!$C$63+'[7]117447'!$C$64+'[7]117447'!$C$61+'[7]117447'!$C$62+'[7]117459'!$C$63+'[7]117459'!$C$64+'[7]117459'!$C$61+'[7]117459'!$C$62</f>
        <v>598</v>
      </c>
      <c r="AL25" s="175">
        <f>'[7]117305'!$C$17+'[7]117447'!$C$17+'[7]117459'!$C$17</f>
        <v>712</v>
      </c>
      <c r="AM25" s="142">
        <f t="shared" si="8"/>
        <v>0.8398876404494382</v>
      </c>
      <c r="AN25" s="143">
        <f t="shared" si="51"/>
        <v>11.777496787988797</v>
      </c>
      <c r="AO25" s="37"/>
      <c r="AP25" s="183">
        <v>0.62131020021228089</v>
      </c>
      <c r="AQ25" s="140">
        <f>'[7]117305'!$C$35+'[7]117305'!$C$34+'[7]117447'!$C$35+'[7]117447'!$C$34+'[7]117459'!$C$35+'[7]117459'!$C$34</f>
        <v>714</v>
      </c>
      <c r="AR25" s="175">
        <v>1658.5160000000001</v>
      </c>
      <c r="AS25" s="142">
        <f t="shared" si="10"/>
        <v>0.43050534333102602</v>
      </c>
      <c r="AT25" s="143">
        <f t="shared" si="52"/>
        <v>8.6612400533569378</v>
      </c>
      <c r="AU25" s="37"/>
      <c r="AV25" s="183">
        <v>0.625</v>
      </c>
      <c r="AW25" s="140">
        <f>SUM('[1]117305'!$H$61)+SUM('[1]117447'!$H$61)+SUM('[1]117459'!$H$61)</f>
        <v>6</v>
      </c>
      <c r="AX25" s="140">
        <f>SUM('[1]117305'!$H$67)+SUM('[1]117447'!$H$67)+SUM('[1]117459'!$H$67)</f>
        <v>10</v>
      </c>
      <c r="AY25" s="142">
        <f t="shared" si="12"/>
        <v>0.6</v>
      </c>
      <c r="AZ25" s="143">
        <f t="shared" si="53"/>
        <v>12</v>
      </c>
      <c r="BA25" s="37"/>
      <c r="BB25" s="23">
        <v>0.1</v>
      </c>
      <c r="BC25" s="175">
        <f>SUM('[8]117305'!$H$59:$AM$59)+SUM('[8]117305'!$C$63)+SUM('[8]117447'!$H$59:$AM$59)+SUM('[8]117447'!$C$63)+SUM('[8]117459'!$H$59:$AM$59)+SUM('[8]117459'!$C$63)</f>
        <v>193</v>
      </c>
      <c r="BD25" s="175">
        <v>868</v>
      </c>
      <c r="BE25" s="142">
        <f t="shared" si="57"/>
        <v>0.22235023041474655</v>
      </c>
      <c r="BF25" s="143">
        <f t="shared" si="58"/>
        <v>6.25</v>
      </c>
      <c r="BG25" s="37"/>
      <c r="BH25" s="37"/>
      <c r="BI25" s="23">
        <v>1</v>
      </c>
      <c r="BJ25" s="140"/>
      <c r="BK25" s="140"/>
      <c r="BL25" s="142">
        <f t="shared" si="54"/>
        <v>1</v>
      </c>
      <c r="BM25" s="143">
        <f t="shared" si="55"/>
        <v>6.25</v>
      </c>
      <c r="BN25" s="42"/>
      <c r="BO25" s="22"/>
      <c r="BP25" s="141">
        <f t="shared" si="59"/>
        <v>89.034140837516816</v>
      </c>
      <c r="BQ25" s="41" t="str">
        <f t="shared" si="56"/>
        <v>Tramo 2: 50% C. Variable</v>
      </c>
      <c r="BR25" s="69">
        <v>90</v>
      </c>
      <c r="DB25"/>
    </row>
    <row r="26" spans="1:148" ht="15" outlineLevel="2" x14ac:dyDescent="0.25">
      <c r="A26" s="156"/>
      <c r="B26" s="46" t="s">
        <v>54</v>
      </c>
      <c r="C26" s="46" t="s">
        <v>68</v>
      </c>
      <c r="D26" s="45"/>
      <c r="E26" s="21">
        <v>0.9</v>
      </c>
      <c r="F26" s="140">
        <f>SUM('[1]117434'!$J$26:$M$26)+SUM('[1]117434'!$J$28:$M$28)</f>
        <v>0</v>
      </c>
      <c r="G26" s="140">
        <f>SUM('[2]117434'!$J$22:$M$22)+SUM('[3]117434'!$J$22:$M$22)+SUM('[4]117434'!$J$22:$M$22)+SUM('[1]117434'!$J$23:$M$23)-(SUM('[2]117434'!$J$39:$M$39)+SUM('[3]117434'!$J$39:$M$39)+SUM('[4]117434'!$J$39:$M$39)+SUM('[1]117434'!$J$40:$M$40))</f>
        <v>0</v>
      </c>
      <c r="H26" s="142">
        <f t="shared" si="44"/>
        <v>1</v>
      </c>
      <c r="I26" s="143">
        <f t="shared" si="45"/>
        <v>12.5</v>
      </c>
      <c r="J26" s="37"/>
      <c r="K26" s="44" t="s">
        <v>39</v>
      </c>
      <c r="L26" s="198" t="s">
        <v>117</v>
      </c>
      <c r="M26" s="175" t="s">
        <v>117</v>
      </c>
      <c r="N26" s="142">
        <f t="shared" si="46"/>
        <v>1</v>
      </c>
      <c r="O26" s="143">
        <f t="shared" si="47"/>
        <v>12.5</v>
      </c>
      <c r="P26" s="37"/>
      <c r="Q26" s="44" t="s">
        <v>39</v>
      </c>
      <c r="R26" s="140" t="s">
        <v>117</v>
      </c>
      <c r="S26" s="175" t="s">
        <v>117</v>
      </c>
      <c r="T26" s="142">
        <f t="shared" si="48"/>
        <v>1</v>
      </c>
      <c r="U26" s="143">
        <f t="shared" si="29"/>
        <v>6.25</v>
      </c>
      <c r="V26" s="37"/>
      <c r="W26" s="44" t="s">
        <v>39</v>
      </c>
      <c r="X26" s="140"/>
      <c r="Y26" s="175" t="s">
        <v>117</v>
      </c>
      <c r="Z26" s="142">
        <f t="shared" si="30"/>
        <v>1</v>
      </c>
      <c r="AA26" s="143">
        <f t="shared" si="49"/>
        <v>6.25</v>
      </c>
      <c r="AB26" s="43">
        <f t="shared" si="31"/>
        <v>12.5</v>
      </c>
      <c r="AC26" s="37"/>
      <c r="AD26" s="183">
        <v>0.68421052631578949</v>
      </c>
      <c r="AE26" s="175">
        <f>'[7]117434'!$C$36+'[7]117434'!$C$37</f>
        <v>39</v>
      </c>
      <c r="AF26" s="175">
        <v>35.805</v>
      </c>
      <c r="AG26" s="142">
        <f t="shared" si="6"/>
        <v>1.0892333472978635</v>
      </c>
      <c r="AH26" s="143">
        <f t="shared" si="50"/>
        <v>12.5</v>
      </c>
      <c r="AI26" s="37"/>
      <c r="AJ26" s="183">
        <v>0.89538461538461545</v>
      </c>
      <c r="AK26" s="175">
        <f>'[7]117434'!$C$63+'[7]117434'!$C$64+'[7]117434'!$C$61+'[7]117434'!$C$62</f>
        <v>48</v>
      </c>
      <c r="AL26" s="175">
        <f>'[7]117434'!$C$17</f>
        <v>54</v>
      </c>
      <c r="AM26" s="142">
        <f t="shared" si="8"/>
        <v>0.88888888888888884</v>
      </c>
      <c r="AN26" s="143">
        <f t="shared" si="51"/>
        <v>12.409316533027871</v>
      </c>
      <c r="AO26" s="37"/>
      <c r="AP26" s="183">
        <v>0.40232423335826484</v>
      </c>
      <c r="AQ26" s="140">
        <f>'[7]117434'!$C$35+'[7]117434'!$C$34</f>
        <v>34</v>
      </c>
      <c r="AR26" s="175">
        <v>85.256</v>
      </c>
      <c r="AS26" s="142">
        <f t="shared" si="10"/>
        <v>0.39879891151355917</v>
      </c>
      <c r="AT26" s="143">
        <f t="shared" si="52"/>
        <v>12.390470124826958</v>
      </c>
      <c r="AU26" s="37"/>
      <c r="AV26" s="181" t="s">
        <v>39</v>
      </c>
      <c r="AW26" s="140">
        <f>SUM('[1]117434'!$H$61)</f>
        <v>0</v>
      </c>
      <c r="AX26" s="140">
        <f>SUM('[1]117434'!$H$67)</f>
        <v>0</v>
      </c>
      <c r="AY26" s="142">
        <f t="shared" si="12"/>
        <v>1</v>
      </c>
      <c r="AZ26" s="143">
        <f t="shared" si="53"/>
        <v>12.5</v>
      </c>
      <c r="BA26" s="37"/>
      <c r="BB26" s="181" t="s">
        <v>39</v>
      </c>
      <c r="BC26" s="175">
        <f>SUM('[8]117434'!$H$59:$AM$59)+SUM('[8]117434'!$C$63)</f>
        <v>12</v>
      </c>
      <c r="BD26" s="175" t="s">
        <v>117</v>
      </c>
      <c r="BE26" s="142">
        <f t="shared" si="57"/>
        <v>1</v>
      </c>
      <c r="BF26" s="143">
        <f t="shared" si="58"/>
        <v>6.25</v>
      </c>
      <c r="BG26" s="37"/>
      <c r="BH26" s="37"/>
      <c r="BI26" s="23">
        <v>1</v>
      </c>
      <c r="BJ26" s="140"/>
      <c r="BK26" s="140"/>
      <c r="BL26" s="142">
        <f t="shared" si="54"/>
        <v>1</v>
      </c>
      <c r="BM26" s="143">
        <f t="shared" si="55"/>
        <v>6.25</v>
      </c>
      <c r="BN26" s="42"/>
      <c r="BO26" s="22"/>
      <c r="BP26" s="141">
        <f t="shared" si="59"/>
        <v>99.799786657854838</v>
      </c>
      <c r="BQ26" s="41" t="str">
        <f t="shared" si="56"/>
        <v>Tramo 1: 100% C. Variable</v>
      </c>
      <c r="BR26" s="69">
        <v>90</v>
      </c>
      <c r="DB26"/>
    </row>
    <row r="27" spans="1:148" ht="15" outlineLevel="2" x14ac:dyDescent="0.25">
      <c r="A27" s="156" t="s">
        <v>18</v>
      </c>
      <c r="B27" s="46" t="s">
        <v>26</v>
      </c>
      <c r="C27" s="46" t="s">
        <v>68</v>
      </c>
      <c r="D27" s="45"/>
      <c r="E27" s="21">
        <v>0.9</v>
      </c>
      <c r="F27" s="140">
        <f>SUM('[1]117316'!$J$26:$M$26)+SUM('[1]117316'!$J$28:$M$28)+SUM('[1]117427'!$J$26:$M$26)+(SUM('[1]117427'!$J$28:$M$28)+SUM('[1]117465'!$J$26:$M$26)+(SUM('[1]117465'!$J$28:$M$28)))</f>
        <v>0</v>
      </c>
      <c r="G27" s="140">
        <f>SUM('[2]117316'!$J$22:$M$22)+SUM('[3]117316'!$J$22:$M$22)+SUM('[4]117316'!$J$22:$M$22)+SUM('[1]117316'!$J$23:$M$23)+SUM('[2]117427'!$J$22:$M$22)+SUM('[3]117427'!$J$22:$M$22)+SUM('[4]117427'!$J$22:$M$22)+SUM('[1]117427'!$J$23:$M$23)+SUM('[2]117465'!$J$22:$M$22)+SUM('[3]117465'!$J$22:$M$22)+SUM('[4]117465'!$J$22:$M$22)+SUM('[1]117465'!$J$23:$M$23)-(SUM('[2]117316'!$J$39:$M$39)+SUM('[3]117316'!$J$39:$M$39)+SUM('[4]117316'!$J$39:$M$39)+SUM('[1]117316'!$J$40:$M$40)+SUM('[2]117427'!$J$39:$M$39)+SUM('[3]117427'!$J$39:$M$39)+SUM('[4]117427'!$J$39:$M$39)+SUM('[1]117427'!$J$40:$M$40)+SUM('[2]117465'!$J$39:$M$39)+SUM('[3]117465'!$J$39:$M$39)+SUM('[4]117465'!$J$39:$M$39)+SUM('[1]117465'!$J$40:$M$40))</f>
        <v>1</v>
      </c>
      <c r="H27" s="142">
        <f t="shared" si="44"/>
        <v>0</v>
      </c>
      <c r="I27" s="143">
        <f t="shared" si="45"/>
        <v>0</v>
      </c>
      <c r="J27" s="37"/>
      <c r="K27" s="23">
        <v>0.9</v>
      </c>
      <c r="L27" s="198">
        <f>SUM('[5]117316'!$B$11:$B$18)+SUM('[5]117427'!$B$11:$B$18)+SUM('[5]117465'!$B$11:$B$18)</f>
        <v>1338</v>
      </c>
      <c r="M27" s="175">
        <v>1223.6200000000001</v>
      </c>
      <c r="N27" s="142">
        <f t="shared" si="46"/>
        <v>1.0934767329726549</v>
      </c>
      <c r="O27" s="143">
        <f t="shared" si="47"/>
        <v>12.5</v>
      </c>
      <c r="P27" s="37"/>
      <c r="Q27" s="21">
        <v>0.41</v>
      </c>
      <c r="R27" s="140">
        <f>SUM('[1]117316'!$F$205:$Y$205)+SUM('[1]117427'!$F$205:$Y$205)+SUM('[1]117465'!$F$205:$Y$205)</f>
        <v>165</v>
      </c>
      <c r="S27" s="175">
        <v>347</v>
      </c>
      <c r="T27" s="142">
        <f t="shared" si="48"/>
        <v>0.47550432276657062</v>
      </c>
      <c r="U27" s="143">
        <f t="shared" si="29"/>
        <v>6.25</v>
      </c>
      <c r="V27" s="37"/>
      <c r="W27" s="183">
        <v>0.16</v>
      </c>
      <c r="X27" s="140">
        <f>SUM('[6]117316'!$S$48+'[6]117316'!$T$48)+SUM('[6]117427'!$S$48+'[6]117427'!$T$48)+SUM('[6]117465'!$S$48+'[6]117465'!$T$48)</f>
        <v>11</v>
      </c>
      <c r="Y27" s="175">
        <v>31</v>
      </c>
      <c r="Z27" s="142">
        <f t="shared" si="30"/>
        <v>0.35483870967741937</v>
      </c>
      <c r="AA27" s="143">
        <f t="shared" si="49"/>
        <v>6.25</v>
      </c>
      <c r="AB27" s="43">
        <f t="shared" si="31"/>
        <v>12.5</v>
      </c>
      <c r="AC27" s="37"/>
      <c r="AD27" s="183">
        <v>0.26173346067892678</v>
      </c>
      <c r="AE27" s="175">
        <f>'[7]117316'!$C$36+'[7]117316'!$C$37+'[7]117427'!$C$36+'[7]117427'!$C$37+'[7]117465'!$C$36+'[7]117465'!$C$37</f>
        <v>276</v>
      </c>
      <c r="AF27" s="175">
        <v>821.88300000000004</v>
      </c>
      <c r="AG27" s="142">
        <f t="shared" si="6"/>
        <v>0.33581422173229036</v>
      </c>
      <c r="AH27" s="143">
        <f t="shared" si="50"/>
        <v>12.5</v>
      </c>
      <c r="AI27" s="37"/>
      <c r="AJ27" s="183">
        <v>0.9</v>
      </c>
      <c r="AK27" s="175">
        <f>'[7]117316'!$C$63+'[7]117316'!$C$64+'[7]117316'!$C$61+'[7]117316'!$C$62+'[7]117427'!$C$63+'[7]117427'!$C$64+'[7]117427'!$C$61+'[7]117427'!$C$62+'[7]117465'!$C$63+'[7]117465'!$C$64+'[7]117465'!$C$61+'[7]117465'!$C$62</f>
        <v>598</v>
      </c>
      <c r="AL27" s="175">
        <f>'[7]117316'!$C$17+'[7]117427'!$C$17+'[7]117465'!$C$17</f>
        <v>654</v>
      </c>
      <c r="AM27" s="142">
        <f t="shared" si="8"/>
        <v>0.91437308868501532</v>
      </c>
      <c r="AN27" s="143">
        <f t="shared" si="51"/>
        <v>12.5</v>
      </c>
      <c r="AO27" s="37"/>
      <c r="AP27" s="183">
        <v>0.44226366826570562</v>
      </c>
      <c r="AQ27" s="140">
        <f>'[7]117316'!$C$35+'[7]117316'!$C$34+'[7]117427'!$C$35+'[7]117427'!$C$34+'[7]117465'!$C$35+'[7]117465'!$C$34</f>
        <v>831</v>
      </c>
      <c r="AR27" s="175">
        <v>1896.9760000000001</v>
      </c>
      <c r="AS27" s="142">
        <f t="shared" si="10"/>
        <v>0.43806563709820256</v>
      </c>
      <c r="AT27" s="143">
        <f t="shared" si="52"/>
        <v>12.381348179018264</v>
      </c>
      <c r="AU27" s="37"/>
      <c r="AV27" s="183">
        <v>0.7</v>
      </c>
      <c r="AW27" s="140">
        <f>SUM('[1]117316'!$H$61)+SUM('[1]117427'!$H$61)+SUM('[1]117465'!$H$61)</f>
        <v>14</v>
      </c>
      <c r="AX27" s="140">
        <f>SUM('[1]117316'!$H$67)+SUM('[1]117427'!$H$67)+SUM('[1]117465'!$H$67)</f>
        <v>16</v>
      </c>
      <c r="AY27" s="142">
        <f t="shared" si="12"/>
        <v>0.875</v>
      </c>
      <c r="AZ27" s="143">
        <f t="shared" si="53"/>
        <v>12.5</v>
      </c>
      <c r="BA27" s="37"/>
      <c r="BB27" s="23">
        <v>0.1</v>
      </c>
      <c r="BC27" s="175">
        <f>SUM('[8]117316'!$H$59:$AM$59)+SUM('[8]117316'!$C$63)+SUM('[8]117427'!$H$59:$AM$59)+SUM('[8]117427'!$C$63)+SUM('[8]117465'!$H$59:$AM$59)+SUM('[8]117465'!$C$63)</f>
        <v>147</v>
      </c>
      <c r="BD27" s="175">
        <v>988</v>
      </c>
      <c r="BE27" s="142">
        <f t="shared" si="57"/>
        <v>0.14878542510121456</v>
      </c>
      <c r="BF27" s="143">
        <f t="shared" si="58"/>
        <v>6.25</v>
      </c>
      <c r="BG27" s="37"/>
      <c r="BH27" s="37"/>
      <c r="BI27" s="23">
        <v>1</v>
      </c>
      <c r="BJ27" s="140"/>
      <c r="BK27" s="140"/>
      <c r="BL27" s="142">
        <f t="shared" si="54"/>
        <v>1</v>
      </c>
      <c r="BM27" s="143">
        <f t="shared" si="55"/>
        <v>6.25</v>
      </c>
      <c r="BN27" s="42"/>
      <c r="BO27" s="22"/>
      <c r="BP27" s="141">
        <f t="shared" si="59"/>
        <v>87.381348179018261</v>
      </c>
      <c r="BQ27" s="41" t="str">
        <f t="shared" si="56"/>
        <v>Tramo 2: 50% C. Variable</v>
      </c>
      <c r="BR27" s="69">
        <v>90</v>
      </c>
      <c r="DB27"/>
      <c r="ER27" s="3" t="s">
        <v>195</v>
      </c>
    </row>
    <row r="28" spans="1:148" ht="15" outlineLevel="2" x14ac:dyDescent="0.25">
      <c r="A28" s="156" t="s">
        <v>22</v>
      </c>
      <c r="B28" s="46" t="s">
        <v>36</v>
      </c>
      <c r="C28" s="46" t="s">
        <v>68</v>
      </c>
      <c r="D28" s="45"/>
      <c r="E28" s="21">
        <v>0.9</v>
      </c>
      <c r="F28" s="140">
        <f>(SUM('[1]117327'!$J$26:$M$26)+SUM('[1]117327'!$J$28:$M$28)+SUM('[1]117443'!$J$26:$M$26)+SUM('[1]117443'!$J$28:$M$28)+SUM('[1]117444'!$J$26:$M$26)+SUM('[1]117444'!$J$28:$M$28)+SUM('[1]117446'!$J$26:$M$26)+SUM('[1]117446'!$J$28:$M$28))</f>
        <v>5</v>
      </c>
      <c r="G28" s="140">
        <f>(SUM('[2]117327'!$J$22:$M$22)+SUM('[3]117327'!$J$22:$M$22)+SUM('[4]117327'!$J$22:$M$22)+SUM('[1]117327'!$J$23:$M$23)+SUM('[2]117443'!$J$22:$M$22)+SUM('[3]117443'!$J$22:$M$22)+SUM('[4]117443'!$J$22:$M$22)+SUM('[1]117443'!$J$23:$M$23)+SUM('[2]117444'!$J$22:$M$22)+SUM('[3]117444'!$J$22:$M$22)+SUM('[4]117444'!$J$22:$M$22)+SUM('[1]117444'!$J$23:$M$23) + SUM('[2]117446'!$J$22:$M$22)+SUM('[3]117446'!$J$22:$M$22)+SUM('[4]117446'!$J$22:$M$22)+SUM('[1]117446'!$J$23:$M$23))-((SUM('[2]117327'!$J$39:$M$39)+SUM('[3]117327'!$J$39:$M$39)+SUM('[4]117327'!$J$39:$M$39)+SUM('[1]117327'!$J$40:$M$40)+SUM('[2]117443'!$J$39:$M$39)+SUM('[3]117443'!$J$39:$M$39)+SUM('[4]117443'!$J$39:$M$39)+SUM('[1]117443'!$J$40:$M$40)+SUM('[2]117444'!$J$39:$M$39)+SUM('[3]117444'!$J$39:$M$39)+SUM('[4]117444'!$J$39:$M$39)+SUM('[1]117444'!$J$40:$M$40) + SUM('[2]117446'!$J$39:$M$39)+SUM('[3]117446'!$J$39:$M$39)+SUM('[4]117446'!$J$39:$M$39)+SUM('[1]117446'!$J$40:$M$40)))</f>
        <v>2</v>
      </c>
      <c r="H28" s="142">
        <f t="shared" si="44"/>
        <v>2.5</v>
      </c>
      <c r="I28" s="143">
        <f t="shared" si="45"/>
        <v>12.5</v>
      </c>
      <c r="J28" s="37"/>
      <c r="K28" s="23">
        <v>0.9</v>
      </c>
      <c r="L28" s="198">
        <f>SUM('[5]117327'!$B$11:$B$18)+SUM('[5]117443'!$B$11:$B$18)+SUM('[5]117444'!$B$11:$B$18)+SUM('[5]117446'!$B$11:$B$18)</f>
        <v>1171</v>
      </c>
      <c r="M28" s="175">
        <v>1172.9000000000001</v>
      </c>
      <c r="N28" s="142">
        <f t="shared" si="46"/>
        <v>0.9983800835535851</v>
      </c>
      <c r="O28" s="143">
        <f t="shared" si="47"/>
        <v>12.5</v>
      </c>
      <c r="P28" s="37"/>
      <c r="Q28" s="21">
        <v>0.41</v>
      </c>
      <c r="R28" s="140">
        <f>SUM('[1]117327'!$F$205:$Y$205)+SUM('[1]117443'!$F$205:$Y$205)+SUM('[1]117444'!$F$205:$Y$205)+SUM('[1]117446'!$F$205:$Y$205)</f>
        <v>162</v>
      </c>
      <c r="S28" s="175">
        <v>383</v>
      </c>
      <c r="T28" s="142">
        <f t="shared" si="48"/>
        <v>0.42297650130548303</v>
      </c>
      <c r="U28" s="143">
        <f t="shared" si="29"/>
        <v>6.25</v>
      </c>
      <c r="V28" s="37"/>
      <c r="W28" s="183">
        <v>0.16</v>
      </c>
      <c r="X28" s="140">
        <f>SUM('[6]117327'!$S$48+'[6]117327'!$T$48)+SUM('[6]117443'!$S$48+'[6]117443'!$T$48)+SUM('[6]117444'!$S$48+'[6]117444'!$T$48)+SUM('[6]117446'!$S$48+'[6]117446'!$T$48)</f>
        <v>10</v>
      </c>
      <c r="Y28" s="175">
        <v>38</v>
      </c>
      <c r="Z28" s="142">
        <f t="shared" si="30"/>
        <v>0.26315789473684209</v>
      </c>
      <c r="AA28" s="143">
        <f t="shared" si="49"/>
        <v>6.25</v>
      </c>
      <c r="AB28" s="43">
        <f t="shared" si="31"/>
        <v>12.5</v>
      </c>
      <c r="AC28" s="37"/>
      <c r="AD28" s="183">
        <v>0.26288198130660312</v>
      </c>
      <c r="AE28" s="175">
        <f>'[7]117327'!$C$36+'[7]117327'!$C$37+'[7]117443'!$C$36+'[7]117443'!$C$37+'[7]117444'!$C$36+'[7]117444'!$C$37+'[7]117446'!$C$36+'[7]117446'!$C$37</f>
        <v>226</v>
      </c>
      <c r="AF28" s="175">
        <v>769.17000000000007</v>
      </c>
      <c r="AG28" s="142">
        <f t="shared" si="6"/>
        <v>0.29382321203375061</v>
      </c>
      <c r="AH28" s="143">
        <f t="shared" si="50"/>
        <v>12.5</v>
      </c>
      <c r="AI28" s="37"/>
      <c r="AJ28" s="183">
        <v>0.86754646840148697</v>
      </c>
      <c r="AK28" s="175">
        <f>'[7]117327'!$C$63+'[7]117327'!$C$64+'[7]117327'!$C$61+'[7]117327'!$C$62+'[7]117443'!$C$63+'[7]117443'!$C$64+'[7]117443'!$C$61+'[7]117443'!$C$62+'[7]117444'!$C$63+'[7]117444'!$C$64+'[7]117444'!$C$61+'[7]117444'!$C$62+'[7]117446'!$C$63+'[7]117446'!$C$64+'[7]117446'!$C$61+'[7]117446'!$C$62</f>
        <v>622</v>
      </c>
      <c r="AL28" s="175">
        <f>'[7]117327'!$C$17+'[7]117443'!$C$17+'[7]117444'!$C$17+'[7]117446'!$C$17</f>
        <v>681</v>
      </c>
      <c r="AM28" s="142">
        <f t="shared" si="8"/>
        <v>0.91336270190895741</v>
      </c>
      <c r="AN28" s="143">
        <f t="shared" si="51"/>
        <v>12.5</v>
      </c>
      <c r="AO28" s="37"/>
      <c r="AP28" s="183">
        <v>0.42491132362848189</v>
      </c>
      <c r="AQ28" s="140">
        <f>'[7]117327'!$C$35+'[7]117327'!$C$34+'[7]117443'!$C$35+'[7]117443'!$C$34+'[7]117444'!$C$35+'[7]117444'!$C$34+'[7]117446'!$C$35+'[7]117446'!$C$34</f>
        <v>645</v>
      </c>
      <c r="AR28" s="175">
        <v>1763.771</v>
      </c>
      <c r="AS28" s="142">
        <f t="shared" si="10"/>
        <v>0.36569373234960773</v>
      </c>
      <c r="AT28" s="143">
        <f t="shared" si="52"/>
        <v>10.757942658094157</v>
      </c>
      <c r="AU28" s="37"/>
      <c r="AV28" s="183">
        <v>0.60869565217391308</v>
      </c>
      <c r="AW28" s="140">
        <f>SUM('[1]117327'!$H$61)+SUM('[1]117443'!$H$61)+SUM('[1]117444'!$H$61)+SUM('[1]117446'!$H$61)</f>
        <v>6</v>
      </c>
      <c r="AX28" s="140">
        <f>SUM('[1]117327'!$H$67)+SUM('[1]117443'!$H$67)+SUM('[1]117444'!$H$67)+SUM('[1]117446'!$H$67)</f>
        <v>18</v>
      </c>
      <c r="AY28" s="142">
        <f t="shared" si="12"/>
        <v>0.33333333333333331</v>
      </c>
      <c r="AZ28" s="143">
        <f t="shared" si="53"/>
        <v>6.8452380952380949</v>
      </c>
      <c r="BA28" s="37"/>
      <c r="BB28" s="23">
        <v>0.1</v>
      </c>
      <c r="BC28" s="175">
        <f>SUM('[8]117327'!$H$59:$AM$59)+SUM('[8]117327'!$C$63)+SUM('[8]117443'!$H$59:$AM$59)+SUM('[8]117443'!$C$63)+SUM('[8]117444'!$H$59:$AM$59)+SUM('[8]117444'!$C$63)+SUM('[8]117446'!$H$59:$AM$59)+SUM('[8]117446'!$C$63)</f>
        <v>200</v>
      </c>
      <c r="BD28" s="175">
        <v>953</v>
      </c>
      <c r="BE28" s="142">
        <f t="shared" si="57"/>
        <v>0.20986358866736621</v>
      </c>
      <c r="BF28" s="143">
        <f t="shared" si="58"/>
        <v>6.25</v>
      </c>
      <c r="BG28" s="37"/>
      <c r="BH28" s="37"/>
      <c r="BI28" s="23">
        <v>1</v>
      </c>
      <c r="BJ28" s="140"/>
      <c r="BK28" s="140"/>
      <c r="BL28" s="142">
        <f t="shared" si="54"/>
        <v>1</v>
      </c>
      <c r="BM28" s="143">
        <f t="shared" si="55"/>
        <v>6.25</v>
      </c>
      <c r="BN28" s="42"/>
      <c r="BO28" s="22"/>
      <c r="BP28" s="141">
        <f t="shared" si="59"/>
        <v>92.603180753332254</v>
      </c>
      <c r="BQ28" s="41" t="str">
        <f t="shared" si="56"/>
        <v>Tramo 1: 100% C. Variable</v>
      </c>
      <c r="BR28" s="69">
        <v>90</v>
      </c>
      <c r="DB28"/>
      <c r="ER28" s="3" t="s">
        <v>196</v>
      </c>
    </row>
    <row r="29" spans="1:148" ht="15" outlineLevel="1" x14ac:dyDescent="0.25">
      <c r="A29" s="156"/>
      <c r="B29" s="40"/>
      <c r="C29" s="36" t="s">
        <v>68</v>
      </c>
      <c r="D29" s="28"/>
      <c r="E29" s="85" t="s">
        <v>68</v>
      </c>
      <c r="F29" s="87">
        <f>SUM(F22:F28)</f>
        <v>9</v>
      </c>
      <c r="G29" s="88">
        <f>SUM(G22:G28)</f>
        <v>16</v>
      </c>
      <c r="H29" s="35">
        <f>IFERROR(F29/G29,"")</f>
        <v>0.5625</v>
      </c>
      <c r="I29" s="38"/>
      <c r="J29" s="37"/>
      <c r="K29" s="60" t="s">
        <v>68</v>
      </c>
      <c r="L29" s="180">
        <f>SUM(L22:L28)</f>
        <v>6146</v>
      </c>
      <c r="M29" s="88">
        <f>SUM(M22:M28)</f>
        <v>6282.76</v>
      </c>
      <c r="N29" s="35">
        <f>IFERROR(L29/M29,"")</f>
        <v>0.97823249654610389</v>
      </c>
      <c r="O29" s="38"/>
      <c r="P29" s="37"/>
      <c r="Q29" s="60" t="s">
        <v>68</v>
      </c>
      <c r="R29" s="87">
        <f>SUM(R22:R28)</f>
        <v>851</v>
      </c>
      <c r="S29" s="88">
        <f>SUM(S22:S28)</f>
        <v>2276</v>
      </c>
      <c r="T29" s="35">
        <f>IFERROR(R29/S29,"")</f>
        <v>0.37390158172231985</v>
      </c>
      <c r="U29" s="38"/>
      <c r="V29" s="37"/>
      <c r="W29" s="36" t="s">
        <v>68</v>
      </c>
      <c r="X29" s="87">
        <f>SUM(X22:X28)</f>
        <v>63</v>
      </c>
      <c r="Y29" s="88">
        <f>SUM(Y22:Y28)</f>
        <v>243</v>
      </c>
      <c r="Z29" s="35">
        <f>IFERROR(X29/Y29,"")</f>
        <v>0.25925925925925924</v>
      </c>
      <c r="AA29" s="38"/>
      <c r="AB29" s="38"/>
      <c r="AC29" s="37"/>
      <c r="AD29" s="185" t="s">
        <v>68</v>
      </c>
      <c r="AE29" s="180">
        <f>SUM(AE22:AE28)</f>
        <v>1412</v>
      </c>
      <c r="AF29" s="88">
        <f>SUM(AF22:AF28)</f>
        <v>4276.8329999999996</v>
      </c>
      <c r="AG29" s="35">
        <f>IFERROR(AE29/AF29,"")</f>
        <v>0.33015083824876962</v>
      </c>
      <c r="AH29" s="35"/>
      <c r="AI29" s="24"/>
      <c r="AJ29" s="186" t="s">
        <v>68</v>
      </c>
      <c r="AK29" s="180">
        <f>SUM(AK22:AK28)</f>
        <v>3273</v>
      </c>
      <c r="AL29" s="199">
        <f>SUM(AL22:AL28)</f>
        <v>3736</v>
      </c>
      <c r="AM29" s="35">
        <f>IFERROR(AK29/AL29,"")</f>
        <v>0.87607066381156318</v>
      </c>
      <c r="AN29" s="35"/>
      <c r="AO29" s="24"/>
      <c r="AP29" s="185" t="s">
        <v>68</v>
      </c>
      <c r="AQ29" s="180">
        <f>SUM(AQ22:AQ28)</f>
        <v>4288</v>
      </c>
      <c r="AR29" s="87">
        <f>SUM(AR22:AR28)</f>
        <v>9846.8280000000013</v>
      </c>
      <c r="AS29" s="35">
        <f>IFERROR(AQ29/AR29,"")</f>
        <v>0.43547018390084596</v>
      </c>
      <c r="AT29" s="35"/>
      <c r="AU29" s="24"/>
      <c r="AV29" s="186" t="s">
        <v>68</v>
      </c>
      <c r="AW29" s="87">
        <f>SUM(AW22:AW28)</f>
        <v>54</v>
      </c>
      <c r="AX29" s="87">
        <f>SUM(AX22:AX28)</f>
        <v>82</v>
      </c>
      <c r="AY29" s="35">
        <f>IFERROR(AW29/AX29,"")</f>
        <v>0.65853658536585369</v>
      </c>
      <c r="AZ29" s="35"/>
      <c r="BA29" s="24"/>
      <c r="BB29" s="186" t="s">
        <v>68</v>
      </c>
      <c r="BC29" s="180">
        <f>SUM(BC22:BC28)</f>
        <v>863</v>
      </c>
      <c r="BD29" s="180">
        <f>SUM(BD22:BD28)</f>
        <v>5161</v>
      </c>
      <c r="BE29" s="35">
        <f>IFERROR(BC29/BD29,"")</f>
        <v>0.1672156558806433</v>
      </c>
      <c r="BF29" s="38"/>
      <c r="BG29" s="24"/>
      <c r="BH29" s="24"/>
      <c r="BI29" s="34" t="s">
        <v>68</v>
      </c>
      <c r="BJ29" s="87">
        <f>SUM(BJ22:BJ28)</f>
        <v>0</v>
      </c>
      <c r="BK29" s="87">
        <f>SUM(BK22:BK28)</f>
        <v>0</v>
      </c>
      <c r="BL29" s="35" t="str">
        <f>IFERROR(BJ29/BK29,"")</f>
        <v/>
      </c>
      <c r="BM29" s="33"/>
      <c r="BN29" s="33"/>
      <c r="BO29" s="22"/>
      <c r="BP29" s="32"/>
      <c r="BQ29" s="31"/>
      <c r="BR29" s="69">
        <v>90</v>
      </c>
      <c r="DB29"/>
    </row>
    <row r="30" spans="1:148" ht="15" customHeight="1" outlineLevel="2" x14ac:dyDescent="0.2">
      <c r="A30" s="156" t="s">
        <v>4</v>
      </c>
      <c r="B30" s="46" t="s">
        <v>31</v>
      </c>
      <c r="C30" s="46" t="s">
        <v>67</v>
      </c>
      <c r="D30" s="45"/>
      <c r="E30" s="21">
        <v>0.9</v>
      </c>
      <c r="F30" s="140">
        <f>SUM('[1]117318'!$J$26:$M$26)+SUM('[1]117318'!$J$28:$M$28)+SUM('[1]117401'!$J$26:$M$26)+SUM('[1]117401'!$J$28:$M$28)+SUM('[1]117403'!$J$26:$M$26)+SUM('[1]117403'!$J$28:$M$28)+SUM('[1]117406'!$J$26:$M$26)+SUM('[1]117406'!$J$28:$M$28)+SUM('[1]117407'!$J$26:$M$26)+SUM('[1]117407'!$J$28:$M$28)</f>
        <v>10</v>
      </c>
      <c r="G30" s="140">
        <f>SUM('[2]117318'!$J$22:$M$22)+SUM('[3]117318'!$J$22:$M$22)+SUM('[4]117318'!$J$22:$M$22)+SUM('[1]117318'!$J$23:$M$23)+SUM('[2]117401'!$J$22:$M$22)+SUM('[3]117401'!$J$22:$M$22)+SUM('[4]117401'!$J$22:$M$22)+SUM('[1]117401'!$J$23:$M$23)+SUM('[2]117403'!$J$22:$M$22)+SUM('[3]117403'!$J$22:$M$22)+SUM('[4]117403'!$J$22:$M$22)+SUM('[1]117403'!$J$23:$M$23) + SUM('[2]117406'!$J$22:$M$22)+SUM('[3]117406'!$J$22:$M$22)+SUM('[4]117406'!$J$22:$M$22)+SUM('[1]117406'!$J$23:$M$23) + SUM('[2]117407'!$J$22:$M$22)+SUM('[3]117407'!$J$22:$M$22)+SUM('[4]117407'!$J$22:$M$22)+SUM('[1]117407'!$J$23:$M$23)-(SUM('[2]117318'!$J$39:$M$39)+SUM('[3]117318'!$J$39:$M$39)+SUM('[4]117318'!$J$39:$M$39)+SUM('[1]117318'!$J$40:$M$40)+SUM('[2]117401'!$J$39:$M$39)+SUM('[3]117401'!$J$39:$M$39)+SUM('[4]117401'!$J$39:$M$39)+SUM('[1]117401'!$J$40:$M$40)+SUM('[2]117403'!$J$39:$M$39)+SUM('[3]117403'!$J$39:$M$39)+SUM('[4]117403'!$J$39:$M$39)+SUM('[1]117403'!$J$40:$M$40) + SUM('[2]117406'!$J$39:$M$39)+SUM('[3]117406'!$J$39:$M$39)+SUM('[4]117406'!$J$39:$M$39)+SUM('[1]117406'!$J$40:$M$40) + SUM('[2]117407'!$J$39:$M$39)+SUM('[3]117407'!$J$39:$M$39)+SUM('[4]117407'!$J$39:$M$39)+SUM('[1]117407'!$J$40:$M$40))</f>
        <v>27</v>
      </c>
      <c r="H30" s="142">
        <f t="shared" ref="H30:H36" si="60">IF(E30="aut",100%,IF(G30=0,100%,F30/G30))</f>
        <v>0.37037037037037035</v>
      </c>
      <c r="I30" s="143">
        <f t="shared" ref="I30:I36" si="61">IF(E30="aut",$C$2,IF(H30&gt;=E30,$C$2,((H30/E30)*$C$2)))</f>
        <v>5.144032921810699</v>
      </c>
      <c r="J30" s="37"/>
      <c r="K30" s="23">
        <v>0.9</v>
      </c>
      <c r="L30" s="198">
        <f>SUM('[5]117318'!$B$11:$B$18)+SUM('[5]117401'!$B$11:$B$18)+SUM('[5]117403'!$B$11:$B$18)+SUM('[5]117406'!$B$11:$B$18)+SUM('[5]117407'!$B$11:$B$18)</f>
        <v>4633</v>
      </c>
      <c r="M30" s="175">
        <v>4839.3599999999997</v>
      </c>
      <c r="N30" s="142">
        <f t="shared" ref="N30:N36" si="62">IF(K30="aut",100%,IF(M30=0,100%,L30/M30))</f>
        <v>0.95735799775176889</v>
      </c>
      <c r="O30" s="143">
        <f t="shared" ref="O30:O36" si="63">IF(K30="aut",$C$2,IF(N30&gt;=K30,$C$2,((N30/K30)*$C$2)))</f>
        <v>12.5</v>
      </c>
      <c r="P30" s="37"/>
      <c r="Q30" s="183">
        <v>0.41</v>
      </c>
      <c r="R30" s="140">
        <f>SUM('[1]117318'!$F$205:$Y$205)+SUM('[1]117401'!$F$205:$Y$205)+SUM('[1]117403'!$F$205:$Y$205)+SUM('[1]117406'!$F$205:$Y$205)+SUM('[1]117407'!$F$205:$Y$205)</f>
        <v>927</v>
      </c>
      <c r="S30" s="175">
        <v>2631</v>
      </c>
      <c r="T30" s="142">
        <f t="shared" ref="T30:T36" si="64">IF(Q30="aut",100%,IF(S30=0,100%,R30/S30))</f>
        <v>0.3523375142531357</v>
      </c>
      <c r="U30" s="143">
        <f t="shared" si="29"/>
        <v>5.3709986928831661</v>
      </c>
      <c r="V30" s="37"/>
      <c r="W30" s="183">
        <v>0.16</v>
      </c>
      <c r="X30" s="140">
        <f>SUM('[6]117318'!$S$48+'[6]117318'!$T$48)+SUM('[6]117401'!$S$48+'[6]117401'!$T$48)+SUM('[6]117403'!$S$48+'[6]117403'!$T$48)+SUM('[6]117406'!$S$48+'[6]117406'!$T$48)+SUM('[6]117407'!$S$48+'[6]117407'!$T$48)</f>
        <v>39</v>
      </c>
      <c r="Y30" s="175">
        <v>290</v>
      </c>
      <c r="Z30" s="142">
        <f t="shared" si="30"/>
        <v>0.13448275862068965</v>
      </c>
      <c r="AA30" s="143">
        <f t="shared" ref="AA30:AA36" si="65">IF(W30="aut",($C$2/2),IF(Z30&gt;=W30,$C$2/2,((Z30/W30)*$C$2/2)))</f>
        <v>5.2532327586206895</v>
      </c>
      <c r="AB30" s="43">
        <f t="shared" si="31"/>
        <v>10.624231451503857</v>
      </c>
      <c r="AC30" s="37"/>
      <c r="AD30" s="183">
        <v>0.39572615749901069</v>
      </c>
      <c r="AE30" s="175">
        <f>'[7]117318'!$C$36+'[7]117318'!$C$37+'[7]117401'!$C$36+'[7]117401'!$C$37+'[7]117403'!$C$36+'[7]117403'!$C$37+'[7]117406'!$C$36+'[7]117406'!$C$37+'[7]117407'!$C$36+'[7]117407'!$C$37</f>
        <v>1043</v>
      </c>
      <c r="AF30" s="175">
        <v>2629.98</v>
      </c>
      <c r="AG30" s="142">
        <f t="shared" si="6"/>
        <v>0.3965809625928714</v>
      </c>
      <c r="AH30" s="143">
        <f t="shared" ref="AH30:AH36" si="66">IF(AD30="aut",$C$2,IF(AG30&gt;=AD30,$C$2,((AG30/AD30)*$C$2)))</f>
        <v>12.5</v>
      </c>
      <c r="AI30" s="37"/>
      <c r="AJ30" s="183">
        <v>0.88386819484240686</v>
      </c>
      <c r="AK30" s="175">
        <f>'[7]117318'!$C$63+'[7]117318'!$C$64+'[7]117318'!$C$61+'[7]117318'!$C$62+'[7]117401'!$C$63+'[7]117401'!$C$64+'[7]117401'!$C$61+'[7]117401'!$C$62+'[7]117403'!$C$63+'[7]117403'!$C$64+'[7]117403'!$C$61+'[7]117403'!$C$62+'[7]117406'!$C$63+'[7]117406'!$C$64+'[7]117406'!$C$61+'[7]117406'!$C$62+'[7]117407'!$C$63+'[7]117407'!$C$64+'[7]117407'!$C$61+'[7]117407'!$C$62</f>
        <v>1840</v>
      </c>
      <c r="AL30" s="175">
        <f>'[7]117318'!$C$17+'[7]117401'!$C$17+'[7]117403'!$C$17+'[7]117406'!$C$17+'[7]117407'!$C$17</f>
        <v>2161</v>
      </c>
      <c r="AM30" s="142">
        <f t="shared" si="8"/>
        <v>0.85145765849143917</v>
      </c>
      <c r="AN30" s="143">
        <f t="shared" ref="AN30:AN36" si="67">IF(AJ30="aut",$C$2,IF(AM30&gt;=AJ30,$C$2,((AM30/AJ30)*$C$2)))</f>
        <v>12.041637874570958</v>
      </c>
      <c r="AO30" s="37"/>
      <c r="AP30" s="183">
        <v>0.40376128881756951</v>
      </c>
      <c r="AQ30" s="140">
        <f>'[7]117318'!$C$35+'[7]117318'!$C$34+'[7]117401'!$C$35+'[7]117401'!$C$34+'[7]117403'!$C$35+'[7]117403'!$C$34+'[7]117406'!$C$35+'[7]117406'!$C$34+'[7]117407'!$C$35+'[7]117407'!$C$34</f>
        <v>2002</v>
      </c>
      <c r="AR30" s="175">
        <v>5940.098</v>
      </c>
      <c r="AS30" s="142">
        <f t="shared" si="10"/>
        <v>0.33703147658506644</v>
      </c>
      <c r="AT30" s="143">
        <f t="shared" ref="AT30:AT36" si="68">IF(AP30="aut",$C$2,IF(AS30&gt;=AP30,$C$2,((AS30/AP30)*$C$2)))</f>
        <v>10.434119302647739</v>
      </c>
      <c r="AU30" s="37"/>
      <c r="AV30" s="183">
        <v>0.5575</v>
      </c>
      <c r="AW30" s="140">
        <f>SUM('[1]117318'!$H$61)+SUM('[1]117401'!$H$61)+SUM('[1]117403'!$H$61)+SUM('[1]117406'!$H$61)+SUM('[1]117407'!$H$61)</f>
        <v>34</v>
      </c>
      <c r="AX30" s="140">
        <f>SUM('[1]117318'!$H$67)+SUM('[1]117401'!$H$67)+SUM('[1]117403'!$H$67)+SUM('[1]117406'!$H$67)+SUM('[1]117407'!$H$67)</f>
        <v>58</v>
      </c>
      <c r="AY30" s="142">
        <f t="shared" si="12"/>
        <v>0.58620689655172409</v>
      </c>
      <c r="AZ30" s="143">
        <f t="shared" ref="AZ30:AZ36" si="69">IF(AV30="aut",$C$2,IF(AY30&gt;=AV30,$C$2,((AY30/AV30)*$C$2)))</f>
        <v>12.5</v>
      </c>
      <c r="BA30" s="37"/>
      <c r="BB30" s="23">
        <v>0.1</v>
      </c>
      <c r="BC30" s="175">
        <f>SUM('[8]117318'!$H$59:$AM$59)+SUM('[8]117318'!$C$63)+SUM('[8]117401'!$H$59:$AM$59)+SUM('[8]117401'!$C$63)+SUM('[8]117403'!$H$59:$AM$59)+SUM('[8]117403'!$C$63)+SUM('[8]117406'!$H$59:$AM$59)+SUM('[8]117406'!$C$63)+SUM('[8]117407'!$H$59:$AM$59)+SUM('[8]117407'!$C$63)</f>
        <v>582</v>
      </c>
      <c r="BD30" s="175">
        <v>3605</v>
      </c>
      <c r="BE30" s="142">
        <f t="shared" si="57"/>
        <v>0.16144244105409153</v>
      </c>
      <c r="BF30" s="143">
        <f t="shared" ref="BF30:BF36" si="70">IF(BB30="aut",$C$2/2,IF(BE30&gt;=BB30,$C$2/2,0%))</f>
        <v>6.25</v>
      </c>
      <c r="BG30" s="37"/>
      <c r="BH30" s="37"/>
      <c r="BI30" s="23">
        <v>1</v>
      </c>
      <c r="BJ30" s="140"/>
      <c r="BK30" s="140"/>
      <c r="BL30" s="142">
        <f t="shared" ref="BL30:BL36" si="71">IF(BI30="aut",100%,IF(BK30=0,100%,BJ30/BK30))</f>
        <v>1</v>
      </c>
      <c r="BM30" s="143">
        <f t="shared" ref="BM30:BM36" si="72">IF(BI30="aut",$C$2/2,IF(BL30&gt;=BI30,$C$2/2,0%))</f>
        <v>6.25</v>
      </c>
      <c r="BN30" s="42"/>
      <c r="BO30" s="22"/>
      <c r="BP30" s="141">
        <f>+BM30+BF30+AZ30+AT30+AN30+AH30+AB30+O30+I30</f>
        <v>88.244021550533262</v>
      </c>
      <c r="BQ30" s="41" t="str">
        <f t="shared" ref="BQ30:BQ36" si="73">IF(BP30&gt;=90,"Tramo 1: 100% C. Variable",IF(AND(BP30&gt;=75,BP30&lt;90),"Tramo 2: 50% C. Variable",IF(BP30&lt;75,"Tramo 3: Sin Asig. C. Variable")))</f>
        <v>Tramo 2: 50% C. Variable</v>
      </c>
      <c r="BR30" s="69">
        <v>90</v>
      </c>
      <c r="CO30" s="160" t="s">
        <v>31</v>
      </c>
      <c r="CP30" s="161">
        <f t="shared" ref="CP30:CT31" si="74">E30</f>
        <v>0.9</v>
      </c>
      <c r="CQ30" s="173">
        <f t="shared" si="74"/>
        <v>10</v>
      </c>
      <c r="CR30" s="173">
        <f t="shared" si="74"/>
        <v>27</v>
      </c>
      <c r="CS30" s="161">
        <f t="shared" si="74"/>
        <v>0.37037037037037035</v>
      </c>
      <c r="CT30" s="162">
        <f t="shared" si="74"/>
        <v>5.144032921810699</v>
      </c>
      <c r="CU30" s="160" t="s">
        <v>31</v>
      </c>
      <c r="CV30" s="161">
        <f t="shared" ref="CV30:CZ31" si="75">K30</f>
        <v>0.9</v>
      </c>
      <c r="CW30" s="163">
        <f t="shared" si="75"/>
        <v>4633</v>
      </c>
      <c r="CX30" s="163">
        <f t="shared" si="75"/>
        <v>4839.3599999999997</v>
      </c>
      <c r="CY30" s="161">
        <f t="shared" si="75"/>
        <v>0.95735799775176889</v>
      </c>
      <c r="CZ30" s="162">
        <f t="shared" si="75"/>
        <v>12.5</v>
      </c>
      <c r="DA30" s="160" t="s">
        <v>31</v>
      </c>
      <c r="DB30" s="166">
        <f t="shared" ref="DB30:DF31" si="76">Q30</f>
        <v>0.41</v>
      </c>
      <c r="DC30" s="163">
        <f t="shared" si="76"/>
        <v>927</v>
      </c>
      <c r="DD30" s="163">
        <f t="shared" si="76"/>
        <v>2631</v>
      </c>
      <c r="DE30" s="161">
        <f t="shared" si="76"/>
        <v>0.3523375142531357</v>
      </c>
      <c r="DF30" s="162">
        <f t="shared" si="76"/>
        <v>5.3709986928831661</v>
      </c>
      <c r="DG30" s="160" t="s">
        <v>31</v>
      </c>
      <c r="DH30" s="166">
        <f t="shared" ref="DH30:DM31" si="77">W30</f>
        <v>0.16</v>
      </c>
      <c r="DI30" s="163">
        <f t="shared" si="77"/>
        <v>39</v>
      </c>
      <c r="DJ30" s="163">
        <f t="shared" si="77"/>
        <v>290</v>
      </c>
      <c r="DK30" s="161">
        <f t="shared" si="77"/>
        <v>0.13448275862068965</v>
      </c>
      <c r="DL30" s="162">
        <f t="shared" si="77"/>
        <v>5.2532327586206895</v>
      </c>
      <c r="DM30" s="165">
        <f t="shared" si="77"/>
        <v>10.624231451503857</v>
      </c>
      <c r="DN30" s="160" t="s">
        <v>31</v>
      </c>
      <c r="DO30" s="166">
        <f t="shared" ref="DO30:DS31" si="78">AD30</f>
        <v>0.39572615749901069</v>
      </c>
      <c r="DP30" s="163">
        <f t="shared" si="78"/>
        <v>1043</v>
      </c>
      <c r="DQ30" s="163">
        <f t="shared" si="78"/>
        <v>2629.98</v>
      </c>
      <c r="DR30" s="161">
        <f t="shared" si="78"/>
        <v>0.3965809625928714</v>
      </c>
      <c r="DS30" s="162">
        <f t="shared" si="78"/>
        <v>12.5</v>
      </c>
      <c r="DT30" s="160" t="s">
        <v>31</v>
      </c>
      <c r="DU30" s="166">
        <f t="shared" ref="DU30:DY31" si="79">AJ30</f>
        <v>0.88386819484240686</v>
      </c>
      <c r="DV30" s="163">
        <f t="shared" si="79"/>
        <v>1840</v>
      </c>
      <c r="DW30" s="163">
        <f t="shared" si="79"/>
        <v>2161</v>
      </c>
      <c r="DX30" s="161">
        <f t="shared" si="79"/>
        <v>0.85145765849143917</v>
      </c>
      <c r="DY30" s="162">
        <f t="shared" si="79"/>
        <v>12.041637874570958</v>
      </c>
      <c r="DZ30" s="160" t="s">
        <v>31</v>
      </c>
      <c r="EA30" s="166">
        <f t="shared" ref="EA30:EE31" si="80">AP30</f>
        <v>0.40376128881756951</v>
      </c>
      <c r="EB30" s="163">
        <f t="shared" si="80"/>
        <v>2002</v>
      </c>
      <c r="EC30" s="163">
        <f t="shared" si="80"/>
        <v>5940.098</v>
      </c>
      <c r="ED30" s="161">
        <f t="shared" si="80"/>
        <v>0.33703147658506644</v>
      </c>
      <c r="EE30" s="162">
        <f t="shared" si="80"/>
        <v>10.434119302647739</v>
      </c>
      <c r="EF30" s="160" t="s">
        <v>31</v>
      </c>
      <c r="EG30" s="166">
        <f t="shared" ref="EG30:EK31" si="81">AV30</f>
        <v>0.5575</v>
      </c>
      <c r="EH30" s="163">
        <f t="shared" si="81"/>
        <v>34</v>
      </c>
      <c r="EI30" s="163">
        <f t="shared" si="81"/>
        <v>58</v>
      </c>
      <c r="EJ30" s="161">
        <f t="shared" si="81"/>
        <v>0.58620689655172409</v>
      </c>
      <c r="EK30" s="162">
        <f t="shared" si="81"/>
        <v>12.5</v>
      </c>
      <c r="EL30" s="160" t="s">
        <v>31</v>
      </c>
      <c r="EM30" s="166">
        <f t="shared" ref="EM30:EQ31" si="82">BI30</f>
        <v>1</v>
      </c>
      <c r="EN30" s="163">
        <f t="shared" si="82"/>
        <v>0</v>
      </c>
      <c r="EO30" s="163">
        <f t="shared" si="82"/>
        <v>0</v>
      </c>
      <c r="EP30" s="161">
        <f t="shared" si="82"/>
        <v>1</v>
      </c>
      <c r="EQ30" s="162">
        <f t="shared" si="82"/>
        <v>6.25</v>
      </c>
      <c r="ER30" s="172">
        <f t="shared" ref="ER30:ER35" si="83">+EQ30+EK30+EE30+DY30+DS30+DM30+CZ30+CT30</f>
        <v>81.994021550533262</v>
      </c>
    </row>
    <row r="31" spans="1:148" ht="15" customHeight="1" outlineLevel="2" x14ac:dyDescent="0.2">
      <c r="A31" s="156" t="s">
        <v>91</v>
      </c>
      <c r="B31" s="46" t="s">
        <v>24</v>
      </c>
      <c r="C31" s="46" t="s">
        <v>67</v>
      </c>
      <c r="D31" s="45"/>
      <c r="E31" s="21">
        <v>0.9</v>
      </c>
      <c r="F31" s="140">
        <f>SUM('[1]117325'!$J$26:$M$26)+SUM('[1]117325'!$J$28:$M$28)</f>
        <v>2</v>
      </c>
      <c r="G31" s="140">
        <f>SUM('[2]117325'!$J$22:$M$22)+SUM('[3]117325'!$J$22:$M$22)+SUM('[4]117325'!$J$22:$M$22)+SUM('[1]117325'!$J$23:$M$23)-(SUM('[2]117325'!$J$39:$M$39)+SUM('[3]117325'!$J$39:$M$39)+SUM('[4]117325'!$J$39:$M$39)+SUM('[1]117325'!$J$40:$M$40))</f>
        <v>3</v>
      </c>
      <c r="H31" s="142">
        <f t="shared" si="60"/>
        <v>0.66666666666666663</v>
      </c>
      <c r="I31" s="143">
        <f t="shared" si="61"/>
        <v>9.2592592592592595</v>
      </c>
      <c r="J31" s="37"/>
      <c r="K31" s="23">
        <v>0.9</v>
      </c>
      <c r="L31" s="198">
        <f>SUM('[5]117325'!$B$11:$B$18)</f>
        <v>877</v>
      </c>
      <c r="M31" s="175">
        <v>930.28</v>
      </c>
      <c r="N31" s="142">
        <f t="shared" si="62"/>
        <v>0.9427269209270327</v>
      </c>
      <c r="O31" s="143">
        <f t="shared" si="63"/>
        <v>12.5</v>
      </c>
      <c r="P31" s="37"/>
      <c r="Q31" s="183">
        <v>0.41</v>
      </c>
      <c r="R31" s="140">
        <f>SUM('[1]117325'!$F$205:$Y$205)</f>
        <v>212</v>
      </c>
      <c r="S31" s="175">
        <v>264</v>
      </c>
      <c r="T31" s="142">
        <f t="shared" si="64"/>
        <v>0.80303030303030298</v>
      </c>
      <c r="U31" s="143">
        <f t="shared" si="29"/>
        <v>6.25</v>
      </c>
      <c r="V31" s="37"/>
      <c r="W31" s="183">
        <v>0.16</v>
      </c>
      <c r="X31" s="140">
        <f>SUM('[6]117325'!$S$48+'[6]117325'!$T$48)</f>
        <v>9</v>
      </c>
      <c r="Y31" s="175">
        <v>43</v>
      </c>
      <c r="Z31" s="142">
        <f t="shared" si="30"/>
        <v>0.20930232558139536</v>
      </c>
      <c r="AA31" s="143">
        <f t="shared" si="65"/>
        <v>6.25</v>
      </c>
      <c r="AB31" s="43">
        <f t="shared" si="31"/>
        <v>12.5</v>
      </c>
      <c r="AC31" s="37"/>
      <c r="AD31" s="183">
        <v>0.37906287946442913</v>
      </c>
      <c r="AE31" s="175">
        <f>'[7]117325'!$C$36+'[7]117325'!$C$37</f>
        <v>161</v>
      </c>
      <c r="AF31" s="175">
        <v>478.87200000000001</v>
      </c>
      <c r="AG31" s="142">
        <f t="shared" si="6"/>
        <v>0.33620675253512422</v>
      </c>
      <c r="AH31" s="143">
        <f t="shared" si="66"/>
        <v>11.086773816066627</v>
      </c>
      <c r="AI31" s="37"/>
      <c r="AJ31" s="183">
        <v>0.9</v>
      </c>
      <c r="AK31" s="175">
        <f>'[7]117325'!$C$63+'[7]117325'!$C$64+'[7]117325'!$C$61+'[7]117325'!$C$62</f>
        <v>350</v>
      </c>
      <c r="AL31" s="175">
        <f>'[7]117325'!$C$17</f>
        <v>353</v>
      </c>
      <c r="AM31" s="142">
        <f t="shared" si="8"/>
        <v>0.99150141643059486</v>
      </c>
      <c r="AN31" s="143">
        <f t="shared" si="67"/>
        <v>12.5</v>
      </c>
      <c r="AO31" s="37"/>
      <c r="AP31" s="183">
        <v>0.47037621596502222</v>
      </c>
      <c r="AQ31" s="140">
        <f>'[7]117325'!$C$35+'[7]117325'!$C$34</f>
        <v>501</v>
      </c>
      <c r="AR31" s="175">
        <v>1087.3800000000001</v>
      </c>
      <c r="AS31" s="142">
        <f t="shared" si="10"/>
        <v>0.46074049550295199</v>
      </c>
      <c r="AT31" s="143">
        <f t="shared" si="68"/>
        <v>12.243935807790004</v>
      </c>
      <c r="AU31" s="37"/>
      <c r="AV31" s="183">
        <v>0.63888888888888884</v>
      </c>
      <c r="AW31" s="140">
        <f>SUM('[1]117325'!$H$61)</f>
        <v>10</v>
      </c>
      <c r="AX31" s="140">
        <f>SUM('[1]117325'!$H$67)</f>
        <v>16</v>
      </c>
      <c r="AY31" s="142">
        <f t="shared" si="12"/>
        <v>0.625</v>
      </c>
      <c r="AZ31" s="143">
        <f t="shared" si="69"/>
        <v>12.228260869565219</v>
      </c>
      <c r="BA31" s="37"/>
      <c r="BB31" s="23">
        <v>0.1</v>
      </c>
      <c r="BC31" s="175">
        <f>SUM('[8]117325'!$H$59:$AM$59)+SUM('[8]117325'!$C$63)</f>
        <v>187</v>
      </c>
      <c r="BD31" s="175">
        <v>638</v>
      </c>
      <c r="BE31" s="142">
        <f t="shared" si="57"/>
        <v>0.29310344827586204</v>
      </c>
      <c r="BF31" s="143">
        <f t="shared" si="70"/>
        <v>6.25</v>
      </c>
      <c r="BG31" s="37"/>
      <c r="BH31" s="37"/>
      <c r="BI31" s="23">
        <v>1</v>
      </c>
      <c r="BJ31" s="140"/>
      <c r="BK31" s="140"/>
      <c r="BL31" s="142">
        <f t="shared" si="71"/>
        <v>1</v>
      </c>
      <c r="BM31" s="143">
        <f t="shared" si="72"/>
        <v>6.25</v>
      </c>
      <c r="BN31" s="42"/>
      <c r="BO31" s="22"/>
      <c r="BP31" s="141">
        <f t="shared" ref="BP31:BP36" si="84">+BM31+BF31+AZ31+AT31+AN31+AH31+AB31+O31+I31</f>
        <v>94.818229752681106</v>
      </c>
      <c r="BQ31" s="41" t="str">
        <f t="shared" si="73"/>
        <v>Tramo 1: 100% C. Variable</v>
      </c>
      <c r="BR31" s="69">
        <v>90</v>
      </c>
      <c r="CO31" s="160" t="s">
        <v>24</v>
      </c>
      <c r="CP31" s="161">
        <f t="shared" si="74"/>
        <v>0.9</v>
      </c>
      <c r="CQ31" s="173">
        <f t="shared" si="74"/>
        <v>2</v>
      </c>
      <c r="CR31" s="173">
        <f t="shared" si="74"/>
        <v>3</v>
      </c>
      <c r="CS31" s="161">
        <f t="shared" si="74"/>
        <v>0.66666666666666663</v>
      </c>
      <c r="CT31" s="162">
        <f t="shared" si="74"/>
        <v>9.2592592592592595</v>
      </c>
      <c r="CU31" s="160" t="s">
        <v>24</v>
      </c>
      <c r="CV31" s="161">
        <f t="shared" si="75"/>
        <v>0.9</v>
      </c>
      <c r="CW31" s="163">
        <f t="shared" si="75"/>
        <v>877</v>
      </c>
      <c r="CX31" s="163">
        <f t="shared" si="75"/>
        <v>930.28</v>
      </c>
      <c r="CY31" s="161">
        <f t="shared" si="75"/>
        <v>0.9427269209270327</v>
      </c>
      <c r="CZ31" s="162">
        <f t="shared" si="75"/>
        <v>12.5</v>
      </c>
      <c r="DA31" s="160" t="s">
        <v>24</v>
      </c>
      <c r="DB31" s="166">
        <f t="shared" si="76"/>
        <v>0.41</v>
      </c>
      <c r="DC31" s="163">
        <f t="shared" si="76"/>
        <v>212</v>
      </c>
      <c r="DD31" s="163">
        <f t="shared" si="76"/>
        <v>264</v>
      </c>
      <c r="DE31" s="161">
        <f t="shared" si="76"/>
        <v>0.80303030303030298</v>
      </c>
      <c r="DF31" s="162">
        <f t="shared" si="76"/>
        <v>6.25</v>
      </c>
      <c r="DG31" s="160" t="s">
        <v>24</v>
      </c>
      <c r="DH31" s="166">
        <f t="shared" si="77"/>
        <v>0.16</v>
      </c>
      <c r="DI31" s="163">
        <f t="shared" si="77"/>
        <v>9</v>
      </c>
      <c r="DJ31" s="163">
        <f t="shared" si="77"/>
        <v>43</v>
      </c>
      <c r="DK31" s="161">
        <f t="shared" si="77"/>
        <v>0.20930232558139536</v>
      </c>
      <c r="DL31" s="162">
        <f t="shared" si="77"/>
        <v>6.25</v>
      </c>
      <c r="DM31" s="165">
        <f t="shared" si="77"/>
        <v>12.5</v>
      </c>
      <c r="DN31" s="160" t="s">
        <v>24</v>
      </c>
      <c r="DO31" s="166">
        <f t="shared" si="78"/>
        <v>0.37906287946442913</v>
      </c>
      <c r="DP31" s="163">
        <f t="shared" si="78"/>
        <v>161</v>
      </c>
      <c r="DQ31" s="163">
        <f t="shared" si="78"/>
        <v>478.87200000000001</v>
      </c>
      <c r="DR31" s="161">
        <f t="shared" si="78"/>
        <v>0.33620675253512422</v>
      </c>
      <c r="DS31" s="162">
        <f t="shared" si="78"/>
        <v>11.086773816066627</v>
      </c>
      <c r="DT31" s="160" t="s">
        <v>24</v>
      </c>
      <c r="DU31" s="166">
        <f t="shared" si="79"/>
        <v>0.9</v>
      </c>
      <c r="DV31" s="163">
        <f t="shared" si="79"/>
        <v>350</v>
      </c>
      <c r="DW31" s="163">
        <f t="shared" si="79"/>
        <v>353</v>
      </c>
      <c r="DX31" s="161">
        <f t="shared" si="79"/>
        <v>0.99150141643059486</v>
      </c>
      <c r="DY31" s="162">
        <f t="shared" si="79"/>
        <v>12.5</v>
      </c>
      <c r="DZ31" s="160" t="s">
        <v>24</v>
      </c>
      <c r="EA31" s="166">
        <f t="shared" si="80"/>
        <v>0.47037621596502222</v>
      </c>
      <c r="EB31" s="163">
        <f t="shared" si="80"/>
        <v>501</v>
      </c>
      <c r="EC31" s="163">
        <f t="shared" si="80"/>
        <v>1087.3800000000001</v>
      </c>
      <c r="ED31" s="161">
        <f t="shared" si="80"/>
        <v>0.46074049550295199</v>
      </c>
      <c r="EE31" s="162">
        <f t="shared" si="80"/>
        <v>12.243935807790004</v>
      </c>
      <c r="EF31" s="160" t="s">
        <v>24</v>
      </c>
      <c r="EG31" s="166">
        <f t="shared" si="81"/>
        <v>0.63888888888888884</v>
      </c>
      <c r="EH31" s="163">
        <f t="shared" si="81"/>
        <v>10</v>
      </c>
      <c r="EI31" s="163">
        <f t="shared" si="81"/>
        <v>16</v>
      </c>
      <c r="EJ31" s="161">
        <f t="shared" si="81"/>
        <v>0.625</v>
      </c>
      <c r="EK31" s="162">
        <f t="shared" si="81"/>
        <v>12.228260869565219</v>
      </c>
      <c r="EL31" s="160" t="s">
        <v>24</v>
      </c>
      <c r="EM31" s="166">
        <f t="shared" si="82"/>
        <v>1</v>
      </c>
      <c r="EN31" s="163">
        <f t="shared" si="82"/>
        <v>0</v>
      </c>
      <c r="EO31" s="163">
        <f t="shared" si="82"/>
        <v>0</v>
      </c>
      <c r="EP31" s="161">
        <f t="shared" si="82"/>
        <v>1</v>
      </c>
      <c r="EQ31" s="162">
        <f t="shared" si="82"/>
        <v>6.25</v>
      </c>
      <c r="ER31" s="172">
        <f t="shared" si="83"/>
        <v>88.568229752681106</v>
      </c>
    </row>
    <row r="32" spans="1:148" ht="15" customHeight="1" outlineLevel="2" x14ac:dyDescent="0.2">
      <c r="A32" s="156" t="s">
        <v>92</v>
      </c>
      <c r="B32" s="46" t="s">
        <v>41</v>
      </c>
      <c r="C32" s="46" t="s">
        <v>67</v>
      </c>
      <c r="D32" s="45"/>
      <c r="E32" s="21">
        <v>0.9</v>
      </c>
      <c r="F32" s="140">
        <f>SUM('[1]117313'!$J$26:$M$26)+SUM('[1]117313'!$J$28:$M$28)+SUM('[1]117418'!$J$26:$M$26)+SUM('[1]117418'!$J$28:$M$28)+SUM('[1]117419'!$J$26:$M$26)+SUM('[1]117419'!$J$28:$M$28)+SUM('[1]117422'!$J$26:$M$26)+SUM('[1]117422'!$J$28:$M$28)+SUM('[1]117464'!$J$26:$M$26)+SUM('[1]117464'!$J$28:$M$28)+SUM('[1]117468'!$J$26:$M$26)+SUM('[1]117468'!$J$28:$M$28)</f>
        <v>11</v>
      </c>
      <c r="G32" s="140">
        <f>SUM('[2]117313'!$J$22:$M$22)+SUM('[3]117313'!$J$22:$M$22)+SUM('[4]117313'!$J$22:$M$22)+SUM('[1]117313'!$J$23:$M$23)+SUM('[2]117418'!$J$22:$M$22)+SUM('[3]117418'!$J$22:$M$22)+SUM('[4]117418'!$J$22:$M$22)+SUM('[1]117418'!$J$23:$M$23)+SUM('[2]117419'!$J$22:$M$22)+SUM('[3]117419'!$J$22:$M$22)+SUM('[4]117419'!$J$22:$M$22)+SUM('[1]117419'!$J$23:$M$23) + SUM('[2]117422'!$J$22:$M$22)+SUM('[3]117422'!$J$22:$M$22)+SUM('[4]117422'!$J$22:$M$22)+SUM('[1]117422'!$J$23:$M$23) + SUM('[2]117464'!$J$22:$M$22)+SUM('[3]117464'!$J$22:$M$22)+SUM('[4]117464'!$J$22:$M$22)+SUM('[1]117464'!$J$23:$M$23) + SUM('[2]117468'!$J$22:$M$22)+SUM('[3]117468'!$J$22:$M$22)+SUM('[4]117468'!$J$22:$M$22)+SUM('[1]117468'!$J$23:$M$23)-(SUM('[2]117313'!$J$39:$M$39)+SUM('[3]117313'!$J$39:$M$39)+SUM('[4]117313'!$J$39:$M$39)+SUM('[1]117313'!$J$40:$M$40)+SUM('[2]117418'!$J$39:$M$39)+SUM('[3]117418'!$J$39:$M$39)+SUM('[4]117418'!$J$39:$M$39)+SUM('[1]117418'!$J$40:$M$40)+SUM('[2]117419'!$J$39:$M$39)+SUM('[3]117419'!$J$39:$M$39)+SUM('[4]117419'!$J$39:$M$39)+SUM('[1]117419'!$J$40:$M$40) + SUM('[2]117422'!$J$39:$M$39)+SUM('[3]117422'!$J$39:$M$39)+SUM('[4]117422'!$J$39:$M$39)+SUM('[1]117422'!$J$40:$M$40) + SUM('[2]117464'!$J$39:$M$39)+SUM('[3]117464'!$J$39:$M$39)+SUM('[4]117464'!$J$39:$M$39)+SUM('[1]117464'!$J$40:$M$40) + SUM('[2]117468'!$J$39:$M$39)+SUM('[3]117468'!$J$39:$M$39)+SUM('[4]117468'!$J$39:$M$39)+SUM('[1]117468'!$J$40:$M$40))</f>
        <v>16</v>
      </c>
      <c r="H32" s="142">
        <f t="shared" si="60"/>
        <v>0.6875</v>
      </c>
      <c r="I32" s="143">
        <f t="shared" si="61"/>
        <v>9.5486111111111107</v>
      </c>
      <c r="J32" s="37"/>
      <c r="K32" s="23">
        <v>0.9</v>
      </c>
      <c r="L32" s="198">
        <f>SUM('[5]117313'!$B$11:$B$18)+SUM('[5]117418'!$B$11:$B$18)+SUM('[5]117419'!$B$11:$B$18)+SUM('[5]117422'!$B$11:$B$18)+SUM('[5]117464'!$B$11:$B$18)+SUM('[5]117468'!$B$11:$B$18)</f>
        <v>2677</v>
      </c>
      <c r="M32" s="175">
        <v>2550.6999999999998</v>
      </c>
      <c r="N32" s="142">
        <f t="shared" si="62"/>
        <v>1.0495158191868899</v>
      </c>
      <c r="O32" s="143">
        <f t="shared" si="63"/>
        <v>12.5</v>
      </c>
      <c r="P32" s="37"/>
      <c r="Q32" s="183">
        <v>0.41</v>
      </c>
      <c r="R32" s="140">
        <f>SUM('[1]117313'!$F$205:$Y$205)+SUM('[1]117418'!$F$205:$Y$205)+SUM('[1]117419'!$F$205:$Y$205)+SUM('[1]117422'!$F$205:$Y$205)+SUM('[1]117464'!$F$205:$Y$205)+SUM('[1]117468'!$F$205:$Y$205)</f>
        <v>356</v>
      </c>
      <c r="S32" s="175">
        <v>878</v>
      </c>
      <c r="T32" s="142">
        <f t="shared" si="64"/>
        <v>0.40546697038724372</v>
      </c>
      <c r="U32" s="143">
        <f t="shared" si="29"/>
        <v>6.1808989388299356</v>
      </c>
      <c r="V32" s="37"/>
      <c r="W32" s="183">
        <v>0.16</v>
      </c>
      <c r="X32" s="140">
        <f>SUM('[6]117313'!$S$48+'[6]117313'!$T$48)+SUM('[6]117418'!$S$48+'[6]117418'!$T$48)+SUM('[6]117419'!$S$48+'[6]117419'!$T$48)+SUM('[6]117422'!$S$48+'[6]117422'!$T$48)+SUM('[6]117464'!$S$48+'[6]117464'!$T$48)+SUM('[6]117468'!$S$48+'[6]117468'!$T$48)</f>
        <v>38</v>
      </c>
      <c r="Y32" s="175">
        <v>87</v>
      </c>
      <c r="Z32" s="142">
        <f t="shared" si="30"/>
        <v>0.43678160919540232</v>
      </c>
      <c r="AA32" s="143">
        <f t="shared" si="65"/>
        <v>6.25</v>
      </c>
      <c r="AB32" s="43">
        <f t="shared" si="31"/>
        <v>12.430898938829936</v>
      </c>
      <c r="AC32" s="37"/>
      <c r="AD32" s="183">
        <v>0.39535859837253073</v>
      </c>
      <c r="AE32" s="175">
        <f>'[7]117313'!$C$36+'[7]117313'!$C$37+'[7]117418'!$C$36+'[7]117418'!$C$37+'[7]117419'!$C$36+'[7]117419'!$C$37+'[7]117422'!$C$36+'[7]117422'!$C$37+'[7]117464'!$C$36+'[7]117464'!$C$37+'[7]117468'!$C$36+'[7]117468'!$C$37</f>
        <v>562</v>
      </c>
      <c r="AF32" s="175">
        <v>1518.03</v>
      </c>
      <c r="AG32" s="142">
        <f t="shared" si="6"/>
        <v>0.37021666238480139</v>
      </c>
      <c r="AH32" s="143">
        <f t="shared" si="66"/>
        <v>11.705090767874262</v>
      </c>
      <c r="AI32" s="37"/>
      <c r="AJ32" s="183">
        <v>0.89568795260039502</v>
      </c>
      <c r="AK32" s="175">
        <f>'[7]117313'!$C$63+'[7]117313'!$C$64+'[7]117313'!$C$61+'[7]117313'!$C$62+'[7]117418'!$C$63+'[7]117418'!$C$64+'[7]117418'!$C$61+'[7]117418'!$C$62+'[7]117419'!$C$63+'[7]117419'!$C$64+'[7]117419'!$C$61+'[7]117419'!$C$62+'[7]117422'!$C$63+'[7]117422'!$C$64+'[7]117422'!$C$61+'[7]117422'!$C$62+'[7]117464'!$C$63+'[7]117464'!$C$64+'[7]117464'!$C$61+'[7]117464'!$C$62+'[7]117468'!$C$63+'[7]117468'!$C$64+'[7]117468'!$C$61+'[7]117468'!$C$62</f>
        <v>1386</v>
      </c>
      <c r="AL32" s="175">
        <f>'[7]117313'!$C$17+'[7]117418'!$C$17+'[7]117419'!$C$17+'[7]117422'!$C$17+'[7]117464'!$C$17+'[7]117468'!$C$17</f>
        <v>1518</v>
      </c>
      <c r="AM32" s="142">
        <f t="shared" si="8"/>
        <v>0.91304347826086951</v>
      </c>
      <c r="AN32" s="143">
        <f t="shared" si="67"/>
        <v>12.5</v>
      </c>
      <c r="AO32" s="37"/>
      <c r="AP32" s="183">
        <v>0.46727393677557488</v>
      </c>
      <c r="AQ32" s="140">
        <f>'[7]117313'!$C$35+'[7]117313'!$C$34+'[7]117418'!$C$35+'[7]117418'!$C$34+'[7]117419'!$C$35+'[7]117419'!$C$34+'[7]117422'!$C$35+'[7]117422'!$C$34+'[7]117464'!$C$35+'[7]117464'!$C$34+'[7]117468'!$C$35+'[7]117468'!$C$34</f>
        <v>1600</v>
      </c>
      <c r="AR32" s="175">
        <v>3500.8419999999996</v>
      </c>
      <c r="AS32" s="142">
        <f t="shared" si="10"/>
        <v>0.45703290808325547</v>
      </c>
      <c r="AT32" s="143">
        <f t="shared" si="68"/>
        <v>12.226043229508271</v>
      </c>
      <c r="AU32" s="37"/>
      <c r="AV32" s="183">
        <v>0.60240963855421692</v>
      </c>
      <c r="AW32" s="140">
        <f>SUM('[1]117313'!$H$61)+SUM('[1]117418'!$H$61)+SUM('[1]117419'!$H$61)+SUM('[1]117422'!$H$61)+SUM('[1]117464'!$H$61)+SUM('[1]117468'!$H$61)</f>
        <v>29</v>
      </c>
      <c r="AX32" s="140">
        <f>SUM('[1]117313'!$H$67)+SUM('[1]117418'!$H$67)+SUM('[1]117419'!$H$67)+SUM('[1]117422'!$H$67)+SUM('[1]117464'!$H$67)+SUM('[1]117468'!$H$67)</f>
        <v>49</v>
      </c>
      <c r="AY32" s="142">
        <f t="shared" si="12"/>
        <v>0.59183673469387754</v>
      </c>
      <c r="AZ32" s="143">
        <f t="shared" si="69"/>
        <v>12.280612244897958</v>
      </c>
      <c r="BA32" s="37"/>
      <c r="BB32" s="23">
        <v>0.1</v>
      </c>
      <c r="BC32" s="175">
        <f>SUM('[8]117313'!$H$59:$AM$59)+ SUM('[8]117313'!$C$63)+ SUM('[8]117418'!$H$59:$AM$59)+ SUM('[8]117418'!$C$63)+ SUM('[8]117419'!$H$59:$AM$59)+ SUM('[8]117419'!$C$63)+SUM('[8]117422'!$H$59:$AM$59)+SUM('[8]117422'!$C$63)+SUM('[8]117464'!$H$59:$AM$59)+SUM('[8]117464'!$C$63)+SUM('[8]117468'!$H$59:$AM$59)+SUM('[8]117468'!$C$63)</f>
        <v>149</v>
      </c>
      <c r="BD32" s="175">
        <v>1854</v>
      </c>
      <c r="BE32" s="142">
        <f t="shared" si="57"/>
        <v>8.0366774541531821E-2</v>
      </c>
      <c r="BF32" s="143">
        <f t="shared" si="70"/>
        <v>0</v>
      </c>
      <c r="BG32" s="37"/>
      <c r="BH32" s="37"/>
      <c r="BI32" s="23">
        <v>1</v>
      </c>
      <c r="BJ32" s="140"/>
      <c r="BK32" s="140"/>
      <c r="BL32" s="142">
        <f t="shared" si="71"/>
        <v>1</v>
      </c>
      <c r="BM32" s="143">
        <f t="shared" si="72"/>
        <v>6.25</v>
      </c>
      <c r="BN32" s="42"/>
      <c r="BO32" s="22"/>
      <c r="BP32" s="141">
        <f t="shared" si="84"/>
        <v>89.441256292221539</v>
      </c>
      <c r="BQ32" s="41" t="str">
        <f t="shared" si="73"/>
        <v>Tramo 2: 50% C. Variable</v>
      </c>
      <c r="BR32" s="69">
        <v>90</v>
      </c>
      <c r="CP32" s="166">
        <v>0.9</v>
      </c>
      <c r="CQ32" s="173">
        <f>SUM(CQ30:CQ31)</f>
        <v>12</v>
      </c>
      <c r="CR32" s="173">
        <f>SUM(CR30:CR31)</f>
        <v>30</v>
      </c>
      <c r="CS32" s="170">
        <f>CQ32/CR32</f>
        <v>0.4</v>
      </c>
      <c r="CT32" s="162">
        <f>IF(CP32="aut",$C$2,IF(CS32&gt;=CP32,$C$2,((CS32/CP32)*$C$2)))</f>
        <v>5.5555555555555562</v>
      </c>
      <c r="CV32" s="166">
        <v>0.9</v>
      </c>
      <c r="CW32" s="163">
        <f>SUM(CW30:CW31)</f>
        <v>5510</v>
      </c>
      <c r="CX32" s="163">
        <f>SUM(CX30:CX31)</f>
        <v>5769.6399999999994</v>
      </c>
      <c r="CY32" s="170">
        <f>CW32/CX32</f>
        <v>0.95499892540955766</v>
      </c>
      <c r="CZ32" s="162">
        <f>IF(CV32="aut",$C$2,IF(CY32&gt;=CV32,$C$2,((CY32/CV32)*$C$2)))</f>
        <v>12.5</v>
      </c>
      <c r="DB32" s="166">
        <f>Q32</f>
        <v>0.41</v>
      </c>
      <c r="DC32" s="163">
        <f>SUM(DC30:DC31)</f>
        <v>1139</v>
      </c>
      <c r="DD32" s="163">
        <f>SUM(DD30:DD31)</f>
        <v>2895</v>
      </c>
      <c r="DE32" s="170">
        <f>DC32/DD32</f>
        <v>0.39343696027633851</v>
      </c>
      <c r="DF32" s="162">
        <f>IF(DB32="aut",$C$2,IF(DE32&gt;=DB32,$C$2/2,((DE32/DB32)*$C$2/2)))</f>
        <v>5.9975146383588189</v>
      </c>
      <c r="DH32" s="166">
        <f>DI32/DJ32</f>
        <v>0.14414414414414414</v>
      </c>
      <c r="DI32" s="163">
        <f>SUM(DI30:DI31)</f>
        <v>48</v>
      </c>
      <c r="DJ32" s="163">
        <f>SUM(DJ30:DJ31)</f>
        <v>333</v>
      </c>
      <c r="DK32" s="171">
        <f>IFERROR(DH32/DH32,0%)</f>
        <v>1</v>
      </c>
      <c r="DL32" s="165">
        <f>IF(W32="aut",($C$2/2),IF(Z32&gt;=W32,$C$2/2,((Z32/W32)*$C$2/2)))</f>
        <v>6.25</v>
      </c>
      <c r="DM32" s="165">
        <f>DF32+DL32</f>
        <v>12.247514638358819</v>
      </c>
      <c r="DO32" s="166">
        <v>0.28000000000000003</v>
      </c>
      <c r="DP32" s="163">
        <f>SUM(DP30:DP31)</f>
        <v>1204</v>
      </c>
      <c r="DQ32" s="163">
        <f>SUM(DQ30:DQ31)</f>
        <v>3108.8519999999999</v>
      </c>
      <c r="DR32" s="170">
        <f>DP32/DQ32</f>
        <v>0.38728122149269251</v>
      </c>
      <c r="DS32" s="162">
        <f>IF(DO32="aut",$C$2,IF(DR32&gt;=DO32,$C$2,((DR32/DO32)*$C$2)))</f>
        <v>12.5</v>
      </c>
      <c r="DU32" s="174">
        <v>0.83</v>
      </c>
      <c r="DV32" s="163">
        <f>SUM(DV30:DV31)</f>
        <v>2190</v>
      </c>
      <c r="DW32" s="163">
        <f>SUM(DW30:DW31)</f>
        <v>2514</v>
      </c>
      <c r="DX32" s="170">
        <f>DV32/DW32</f>
        <v>0.87112171837708829</v>
      </c>
      <c r="DY32" s="162">
        <f>IF(DU32="aut",$C$2,IF(DX32&gt;=DU32,$C$2,((DX32/DU32)*$C$2)))</f>
        <v>12.5</v>
      </c>
      <c r="EA32" s="166">
        <v>0.43</v>
      </c>
      <c r="EB32" s="163">
        <f>SUM(EB30:EB31)</f>
        <v>2503</v>
      </c>
      <c r="EC32" s="163">
        <f>SUM(EC30:EC31)</f>
        <v>7027.4780000000001</v>
      </c>
      <c r="ED32" s="170">
        <f>EB32/EC32</f>
        <v>0.3561732957399511</v>
      </c>
      <c r="EE32" s="162">
        <f>IF(EA32="aut",$C$2,IF(ED32&gt;=EA32,$C$2,((ED32/EA32)*$C$2)))</f>
        <v>10.353874876161369</v>
      </c>
      <c r="EG32" s="166">
        <v>0.6</v>
      </c>
      <c r="EH32" s="163">
        <f>SUM(EH30:EH31)</f>
        <v>44</v>
      </c>
      <c r="EI32" s="163">
        <f>SUM(EI30:EI31)</f>
        <v>74</v>
      </c>
      <c r="EJ32" s="170">
        <f>EH32/EI32</f>
        <v>0.59459459459459463</v>
      </c>
      <c r="EK32" s="162">
        <f>IF(EG32="aut",$C$2,IF(EJ32&gt;=EG32,$C$2,((EJ32/EG32)*$C$2)))</f>
        <v>12.387387387387388</v>
      </c>
      <c r="EM32" s="166">
        <v>0.8</v>
      </c>
      <c r="EN32" s="163">
        <f>SUM(EN30:EN31)</f>
        <v>0</v>
      </c>
      <c r="EO32" s="163">
        <f>SUM(EO30:EO31)</f>
        <v>0</v>
      </c>
      <c r="EP32" s="170" t="e">
        <f>EN32/EO32</f>
        <v>#DIV/0!</v>
      </c>
      <c r="EQ32" s="162" t="e">
        <f>IF(EM32="aut",$C$2,IF(EP32&gt;=EM32,$C$2,((EP32/EM32)*$C$2)))</f>
        <v>#DIV/0!</v>
      </c>
      <c r="ER32" s="172" t="e">
        <f t="shared" si="83"/>
        <v>#DIV/0!</v>
      </c>
    </row>
    <row r="33" spans="1:148" ht="15" customHeight="1" outlineLevel="2" x14ac:dyDescent="0.2">
      <c r="A33" s="156" t="s">
        <v>93</v>
      </c>
      <c r="B33" s="46" t="s">
        <v>45</v>
      </c>
      <c r="C33" s="46" t="s">
        <v>67</v>
      </c>
      <c r="D33" s="45"/>
      <c r="E33" s="21">
        <v>0.9</v>
      </c>
      <c r="F33" s="140">
        <f>SUM('[1]117311'!$J$26:$M$26)+SUM('[1]117311'!$J$28:$M$28)+SUM('[1]117415'!$J$26:$M$26)+SUM('[1]117415'!$J$28:$M$28)+SUM('[1]117416'!$J$26:$M$26)+SUM('[1]117416'!$J$28:$M$28)+SUM('[1]117421'!$J$26:$M$26)+SUM('[1]117421'!$J$28:$M$28)+SUM('[1]117423'!$J$26:$M$26)+SUM('[1]117423'!$J$28:$M$28)+SUM('[1]117461'!$J$26:$M$26)+SUM('[1]117461'!$J$28:$M$28)+SUM('[1]117462'!$J$26:$M$26)+SUM('[1]117462'!$J$28:$M$28)</f>
        <v>4</v>
      </c>
      <c r="G33" s="140">
        <f>SUM('[2]117311'!$J$22:$M$22)+SUM('[3]117311'!$J$22:$M$22)+SUM('[4]117311'!$J$22:$M$22)+SUM('[1]117311'!$J$23:$M$23)+SUM('[2]117415'!$J$22:$M$22)+SUM('[3]117415'!$J$22:$M$22)+SUM('[4]117415'!$J$22:$M$22)+SUM('[1]117415'!$J$23:$M$23)+SUM('[2]117416'!$J$22:$M$22)+SUM('[3]117416'!$J$22:$M$22)+SUM('[4]117416'!$J$22:$M$22)+SUM('[1]117416'!$J$23:$M$23) + SUM('[2]117421'!$J$22:$M$22)+SUM('[3]117421'!$J$22:$M$22)+SUM('[4]117421'!$J$22:$M$22)+SUM('[1]117421'!$J$23:$M$23) + SUM('[2]117423'!$J$22:$M$22)+SUM('[3]117423'!$J$22:$M$22)+SUM('[4]117423'!$J$22:$M$22)+SUM('[1]117423'!$J$23:$M$23) + SUM('[2]117461'!$J$22:$M$22)+SUM('[3]117461'!$J$22:$M$22)+SUM('[4]117461'!$J$22:$M$22)+SUM('[1]117461'!$J$23:$M$23) + SUM('[2]117462'!$J$22:$M$22)+SUM('[3]117462'!$J$22:$M$22)+SUM('[4]117462'!$J$22:$M$22)+SUM('[1]117462'!$J$23:$M$23)-(SUM('[2]117311'!$J$39:$M$39)+SUM('[3]117311'!$J$39:$M$39)+SUM('[4]117311'!$J$39:$M$39)+SUM('[1]117311'!$J$40:$M$40)+SUM('[2]117415'!$J$39:$M$39)+SUM('[3]117415'!$J$39:$M$39)+SUM('[4]117415'!$J$39:$M$39)+SUM('[1]117415'!$J$40:$M$40)+SUM('[2]117416'!$J$39:$M$39)+SUM('[3]117416'!$J$39:$M$39)+SUM('[4]117416'!$J$39:$M$39)+SUM('[1]117416'!$J$40:$M$40) + SUM('[2]117421'!$J$39:$M$39)+SUM('[3]117421'!$J$39:$M$39)+SUM('[4]117421'!$J$39:$M$39)+SUM('[1]117421'!$J$40:$M$40) + SUM('[2]117423'!$J$39:$M$39)+SUM('[3]117423'!$J$39:$M$39)+SUM('[4]117423'!$J$39:$M$39)+SUM('[1]117423'!$J$40:$M$40) + SUM('[2]117461'!$J$39:$M$39)+SUM('[3]117461'!$J$39:$M$39)+SUM('[4]117461'!$J$39:$M$39)+SUM('[1]117461'!$J$40:$M$40) + SUM('[2]117462'!$J$39:$M$39))</f>
        <v>7</v>
      </c>
      <c r="H33" s="142">
        <f t="shared" si="60"/>
        <v>0.5714285714285714</v>
      </c>
      <c r="I33" s="143">
        <f t="shared" si="61"/>
        <v>7.9365079365079358</v>
      </c>
      <c r="J33" s="37"/>
      <c r="K33" s="23">
        <v>0.9</v>
      </c>
      <c r="L33" s="198">
        <f>SUM('[5]117311'!$B$11:$B$18)+SUM('[5]117415'!$B$11:$B$18)+SUM('[5]117416'!$B$11:$B$18)+SUM('[5]117421'!$B$11:$B$18)+SUM('[5]117423'!$B$11:$B$18)+SUM('[5]117461'!$B$11:$B$18)+SUM('[5]117462'!$B$11:$B$18)</f>
        <v>4865</v>
      </c>
      <c r="M33" s="175">
        <v>4964.74</v>
      </c>
      <c r="N33" s="142">
        <f t="shared" si="62"/>
        <v>0.97991032763044994</v>
      </c>
      <c r="O33" s="143">
        <f t="shared" si="63"/>
        <v>12.5</v>
      </c>
      <c r="P33" s="37"/>
      <c r="Q33" s="183">
        <v>0.41</v>
      </c>
      <c r="R33" s="140">
        <f>SUM('[1]117311'!$F$205:$Y$205)+SUM('[1]117415'!$F$205:$Y$205)+SUM('[1]117416'!$F$205:$Y$205)+SUM('[1]117421'!$F$205:$Y$205)+SUM('[1]117423'!$F$205:$Y$205)+SUM('[1]117461'!$F$205:$Y$205)+SUM('[1]117462'!$F$205:$Y$205)</f>
        <v>597</v>
      </c>
      <c r="S33" s="195">
        <v>1947</v>
      </c>
      <c r="T33" s="142">
        <f t="shared" si="64"/>
        <v>0.30662557781201849</v>
      </c>
      <c r="U33" s="143">
        <f t="shared" si="29"/>
        <v>4.674170393475892</v>
      </c>
      <c r="V33" s="37"/>
      <c r="W33" s="183">
        <v>0.15905138339920949</v>
      </c>
      <c r="X33" s="140">
        <f>SUM('[6]117311'!$S$48+'[6]117311'!$T$48)+SUM('[6]117415'!$S$48+'[6]117415'!$T$48)+SUM('[6]117416'!$S$48+'[6]117416'!$T$48)+SUM('[6]117421'!$S$48+'[6]117421'!$T$48)+SUM('[6]117423'!$S$48+'[6]117423'!$T$48)+SUM('[6]117461'!$S$48+'[6]117461'!$T$48)+SUM('[6]117462'!$S$48+'[6]117462'!$T$48)</f>
        <v>22</v>
      </c>
      <c r="Y33" s="175">
        <v>154</v>
      </c>
      <c r="Z33" s="142">
        <f t="shared" si="30"/>
        <v>0.14285714285714285</v>
      </c>
      <c r="AA33" s="143">
        <f t="shared" si="65"/>
        <v>5.6136395910252768</v>
      </c>
      <c r="AB33" s="43">
        <f t="shared" si="31"/>
        <v>10.28780998450117</v>
      </c>
      <c r="AC33" s="37"/>
      <c r="AD33" s="183">
        <v>0.29103326510220118</v>
      </c>
      <c r="AE33" s="175">
        <f>'[7]117311'!$C$36+'[7]117311'!$C$37+'[7]117415'!$C$36+'[7]117415'!$C$37+'[7]117416'!$C$36+'[7]117416'!$C$37+'[7]117421'!$C$36+'[7]117421'!$C$37+'[7]117423'!$C$36+'[7]117423'!$C$37+'[7]117461'!$C$36+'[7]117461'!$C$37+'[7]117462'!$C$36+'[7]117462'!$C$37</f>
        <v>855</v>
      </c>
      <c r="AF33" s="175">
        <v>2885.3819999999996</v>
      </c>
      <c r="AG33" s="142">
        <f t="shared" si="6"/>
        <v>0.29632124966468915</v>
      </c>
      <c r="AH33" s="143">
        <f t="shared" si="66"/>
        <v>12.5</v>
      </c>
      <c r="AI33" s="37"/>
      <c r="AJ33" s="183">
        <v>0.89406015037593978</v>
      </c>
      <c r="AK33" s="175">
        <f>'[7]117311'!$C$63+'[7]117311'!$C$64+'[7]117311'!$C$61+'[7]117311'!$C$62+'[7]117415'!$C$63+'[7]117415'!$C$64+'[7]117415'!$C$61+'[7]117415'!$C$62+'[7]117416'!$C$63+'[7]117416'!$C$64+'[7]117416'!$C$61+'[7]117416'!$C$62+'[7]117421'!$C$63+'[7]117421'!$C$64+'[7]117421'!$C$61+'[7]117421'!$C$62+'[7]117423'!$C$63+'[7]117423'!$C$64+'[7]117423'!$C$61+'[7]117423'!$C$62+'[7]117461'!$C$63+'[7]117461'!$C$64+'[7]117461'!$C$61+'[7]117461'!$C$62+'[7]117462'!$C$63+'[7]117462'!$C$64+'[7]117462'!$C$61+'[7]117462'!$C$62</f>
        <v>1791</v>
      </c>
      <c r="AL33" s="175">
        <f>'[7]117311'!$C$17+'[7]117415'!$C$17+'[7]117416'!$C$17+'[7]117421'!$C$17+'[7]117423'!$C$17+'[7]117461'!$C$17+'[7]117462'!$C$17</f>
        <v>2167</v>
      </c>
      <c r="AM33" s="142">
        <f t="shared" si="8"/>
        <v>0.82648823257960313</v>
      </c>
      <c r="AN33" s="143">
        <f t="shared" si="67"/>
        <v>11.555266055534357</v>
      </c>
      <c r="AO33" s="37"/>
      <c r="AP33" s="183">
        <v>0.40367379106627815</v>
      </c>
      <c r="AQ33" s="140">
        <f>'[7]117311'!$C$35+'[7]117311'!$C$34+'[7]117415'!$C$35+'[7]117415'!$C$34+'[7]117416'!$C$35+'[7]117416'!$C$34+'[7]117421'!$C$35+'[7]117421'!$C$34+'[7]117423'!$C$35+'[7]117423'!$C$34+'[7]117461'!$C$35+'[7]117461'!$C$34+'[7]117462'!$C$35+'[7]117462'!$C$34</f>
        <v>2320</v>
      </c>
      <c r="AR33" s="175">
        <v>6568.6679999999997</v>
      </c>
      <c r="AS33" s="142">
        <f t="shared" si="10"/>
        <v>0.35319184955001531</v>
      </c>
      <c r="AT33" s="143">
        <f t="shared" si="68"/>
        <v>10.936796534928671</v>
      </c>
      <c r="AU33" s="37"/>
      <c r="AV33" s="183">
        <v>0.63030303030303025</v>
      </c>
      <c r="AW33" s="175">
        <f>SUM('[1]117311'!$H$61)+SUM('[1]117415'!$H$61)+SUM('[1]117416'!$H$61)+SUM('[1]117421'!$H$61)+SUM('[1]117423'!$H$61)+SUM('[1]117461'!$H$61)+SUM('[1]117462'!$H$61)</f>
        <v>34</v>
      </c>
      <c r="AX33" s="140">
        <f>SUM('[1]117311'!$H$67)+SUM('[1]117415'!$H$67)+SUM('[1]117416'!$H$67)+SUM('[1]117421'!$H$67)+SUM('[1]117423'!$H$67)+SUM('[1]117461'!$H$67)+SUM('[1]117462'!$H$67)</f>
        <v>63</v>
      </c>
      <c r="AY33" s="142">
        <f t="shared" si="12"/>
        <v>0.53968253968253965</v>
      </c>
      <c r="AZ33" s="143">
        <f t="shared" si="69"/>
        <v>10.702838827838828</v>
      </c>
      <c r="BA33" s="37"/>
      <c r="BB33" s="23">
        <v>0.1</v>
      </c>
      <c r="BC33" s="175">
        <f>SUM('[8]117311'!$H$59:$AM$59)+SUM('[8]117311'!$C$63)+SUM('[8]117415'!$H$59:$AM$59)+SUM('[8]117415'!$C$63)+SUM('[8]117416'!$H$59:$AM$59)+SUM('[8]117416'!$C$63)+SUM('[8]117421'!$H$59:$AM$59)+SUM('[8]117421'!$C$63)+SUM('[8]117423'!$H$59:$AM$59)+SUM('[8]117423'!$C$63)+SUM('[8]117461'!$H$59:$AM$59)+SUM('[8]117461'!$C$63)+SUM('[8]117462'!$H$59:$AM$59)+SUM('[8]117462'!$C$63)</f>
        <v>460</v>
      </c>
      <c r="BD33" s="175">
        <v>3736</v>
      </c>
      <c r="BE33" s="142">
        <f t="shared" si="57"/>
        <v>0.12312633832976445</v>
      </c>
      <c r="BF33" s="143">
        <f t="shared" si="70"/>
        <v>6.25</v>
      </c>
      <c r="BG33" s="37"/>
      <c r="BH33" s="37"/>
      <c r="BI33" s="23">
        <v>1</v>
      </c>
      <c r="BJ33" s="140"/>
      <c r="BK33" s="140"/>
      <c r="BL33" s="142">
        <f t="shared" si="71"/>
        <v>1</v>
      </c>
      <c r="BM33" s="143">
        <f t="shared" si="72"/>
        <v>6.25</v>
      </c>
      <c r="BN33" s="42"/>
      <c r="BO33" s="22"/>
      <c r="BP33" s="141">
        <f t="shared" si="84"/>
        <v>88.919219339310956</v>
      </c>
      <c r="BQ33" s="41" t="str">
        <f t="shared" si="73"/>
        <v>Tramo 2: 50% C. Variable</v>
      </c>
      <c r="BR33" s="69">
        <v>90</v>
      </c>
      <c r="CO33" s="160" t="s">
        <v>45</v>
      </c>
      <c r="CP33" s="161">
        <f t="shared" ref="CP33:CT34" si="85">E33</f>
        <v>0.9</v>
      </c>
      <c r="CQ33" s="173">
        <f t="shared" si="85"/>
        <v>4</v>
      </c>
      <c r="CR33" s="173">
        <f t="shared" si="85"/>
        <v>7</v>
      </c>
      <c r="CS33" s="161">
        <f t="shared" si="85"/>
        <v>0.5714285714285714</v>
      </c>
      <c r="CT33" s="162">
        <f t="shared" si="85"/>
        <v>7.9365079365079358</v>
      </c>
      <c r="CU33" s="160" t="s">
        <v>45</v>
      </c>
      <c r="CV33" s="161">
        <f t="shared" ref="CV33:CZ34" si="86">K33</f>
        <v>0.9</v>
      </c>
      <c r="CW33" s="163">
        <f t="shared" si="86"/>
        <v>4865</v>
      </c>
      <c r="CX33" s="163">
        <f t="shared" si="86"/>
        <v>4964.74</v>
      </c>
      <c r="CY33" s="161">
        <f t="shared" si="86"/>
        <v>0.97991032763044994</v>
      </c>
      <c r="CZ33" s="162">
        <f t="shared" si="86"/>
        <v>12.5</v>
      </c>
      <c r="DA33" s="160" t="s">
        <v>45</v>
      </c>
      <c r="DB33" s="166">
        <f>Q33</f>
        <v>0.41</v>
      </c>
      <c r="DC33" s="163">
        <f t="shared" ref="DC33:DF34" si="87">R33</f>
        <v>597</v>
      </c>
      <c r="DD33" s="163">
        <f t="shared" si="87"/>
        <v>1947</v>
      </c>
      <c r="DE33" s="161">
        <f t="shared" si="87"/>
        <v>0.30662557781201849</v>
      </c>
      <c r="DF33" s="162">
        <f t="shared" si="87"/>
        <v>4.674170393475892</v>
      </c>
      <c r="DG33" s="160" t="s">
        <v>45</v>
      </c>
      <c r="DH33" s="166">
        <f t="shared" ref="DH33:DM34" si="88">W33</f>
        <v>0.15905138339920949</v>
      </c>
      <c r="DI33" s="163">
        <f t="shared" si="88"/>
        <v>22</v>
      </c>
      <c r="DJ33" s="163">
        <f t="shared" si="88"/>
        <v>154</v>
      </c>
      <c r="DK33" s="161">
        <f t="shared" si="88"/>
        <v>0.14285714285714285</v>
      </c>
      <c r="DL33" s="162">
        <f t="shared" si="88"/>
        <v>5.6136395910252768</v>
      </c>
      <c r="DM33" s="165">
        <f t="shared" si="88"/>
        <v>10.28780998450117</v>
      </c>
      <c r="DN33" s="160" t="s">
        <v>45</v>
      </c>
      <c r="DO33" s="166">
        <f t="shared" ref="DO33:DS34" si="89">AD33</f>
        <v>0.29103326510220118</v>
      </c>
      <c r="DP33" s="163">
        <f t="shared" si="89"/>
        <v>855</v>
      </c>
      <c r="DQ33" s="163">
        <f t="shared" si="89"/>
        <v>2885.3819999999996</v>
      </c>
      <c r="DR33" s="161">
        <f t="shared" si="89"/>
        <v>0.29632124966468915</v>
      </c>
      <c r="DS33" s="162">
        <f t="shared" si="89"/>
        <v>12.5</v>
      </c>
      <c r="DT33" s="160" t="s">
        <v>45</v>
      </c>
      <c r="DU33" s="166">
        <f t="shared" ref="DU33:DY34" si="90">AJ33</f>
        <v>0.89406015037593978</v>
      </c>
      <c r="DV33" s="163">
        <f t="shared" si="90"/>
        <v>1791</v>
      </c>
      <c r="DW33" s="163">
        <f t="shared" si="90"/>
        <v>2167</v>
      </c>
      <c r="DX33" s="161">
        <f t="shared" si="90"/>
        <v>0.82648823257960313</v>
      </c>
      <c r="DY33" s="162">
        <f t="shared" si="90"/>
        <v>11.555266055534357</v>
      </c>
      <c r="DZ33" s="160" t="s">
        <v>45</v>
      </c>
      <c r="EA33" s="166">
        <f>AP33</f>
        <v>0.40367379106627815</v>
      </c>
      <c r="EB33" s="163">
        <f>AQ33</f>
        <v>2320</v>
      </c>
      <c r="EC33" s="163">
        <f>AR33</f>
        <v>6568.6679999999997</v>
      </c>
      <c r="ED33" s="161">
        <f>AS33</f>
        <v>0.35319184955001531</v>
      </c>
      <c r="EE33" s="162">
        <f>AT33</f>
        <v>10.936796534928671</v>
      </c>
      <c r="EF33" s="160" t="s">
        <v>45</v>
      </c>
      <c r="EG33" s="166">
        <f t="shared" ref="EG33:EK34" si="91">AV33</f>
        <v>0.63030303030303025</v>
      </c>
      <c r="EH33" s="163">
        <f t="shared" si="91"/>
        <v>34</v>
      </c>
      <c r="EI33" s="163">
        <f t="shared" si="91"/>
        <v>63</v>
      </c>
      <c r="EJ33" s="161">
        <f t="shared" si="91"/>
        <v>0.53968253968253965</v>
      </c>
      <c r="EK33" s="162">
        <f t="shared" si="91"/>
        <v>10.702838827838828</v>
      </c>
      <c r="EL33" s="160" t="s">
        <v>45</v>
      </c>
      <c r="EM33" s="166">
        <f t="shared" ref="EM33:EQ34" si="92">BI33</f>
        <v>1</v>
      </c>
      <c r="EN33" s="163">
        <f t="shared" si="92"/>
        <v>0</v>
      </c>
      <c r="EO33" s="163">
        <f t="shared" si="92"/>
        <v>0</v>
      </c>
      <c r="EP33" s="161">
        <f t="shared" si="92"/>
        <v>1</v>
      </c>
      <c r="EQ33" s="162">
        <f t="shared" si="92"/>
        <v>6.25</v>
      </c>
      <c r="ER33" s="172">
        <f t="shared" si="83"/>
        <v>82.669219339310956</v>
      </c>
    </row>
    <row r="34" spans="1:148" ht="15" customHeight="1" outlineLevel="2" x14ac:dyDescent="0.2">
      <c r="A34" s="156" t="s">
        <v>94</v>
      </c>
      <c r="B34" s="46" t="s">
        <v>46</v>
      </c>
      <c r="C34" s="46" t="s">
        <v>67</v>
      </c>
      <c r="D34" s="45"/>
      <c r="E34" s="21">
        <v>0.9</v>
      </c>
      <c r="F34" s="140">
        <f>SUM('[1]117329'!$J$26:$M$26)+SUM('[1]117329'!$J$28:$M$28)+SUM('[1]117729'!$J$26:$M$26)+(SUM('[1]117729'!$J$28:$M$28))</f>
        <v>8</v>
      </c>
      <c r="G34" s="140">
        <f>SUM('[2]117329'!$J$22:$M$22)+SUM('[3]117329'!$J$22:$M$22)+SUM('[4]117329'!$J$22:$M$22)+SUM('[1]117329'!$J$23:$M$23) + SUM('[2]117729'!$J$22:$M$22)+SUM('[3]117729'!$J$22:$M$22)+SUM('[4]117729'!$J$22:$M$22)+SUM('[1]117729'!$J$23:$M$23)-(SUM('[2]117329'!$J$39:$M$39)+SUM('[3]117329'!$J$39:$M$39)+SUM('[4]117329'!$J$39:$M$39)+SUM('[1]117329'!$J$40:$M$40) + SUM('[2]117729'!$J$39:$M$39)+SUM('[3]117729'!$J$39:$M$39)+SUM('[4]117729'!$J$39:$M$39)+SUM('[1]117729'!$J$40:$M$40))</f>
        <v>12</v>
      </c>
      <c r="H34" s="142">
        <f t="shared" si="60"/>
        <v>0.66666666666666663</v>
      </c>
      <c r="I34" s="143">
        <f t="shared" si="61"/>
        <v>9.2592592592592595</v>
      </c>
      <c r="J34" s="37"/>
      <c r="K34" s="23">
        <v>0.9</v>
      </c>
      <c r="L34" s="198">
        <f>SUM('[5]117329'!$B$11:$B$18)+SUM('[5]117729'!$B$11:$B$18)</f>
        <v>6812</v>
      </c>
      <c r="M34" s="175">
        <v>6485.6</v>
      </c>
      <c r="N34" s="142">
        <f t="shared" si="62"/>
        <v>1.0503268780066608</v>
      </c>
      <c r="O34" s="143">
        <f t="shared" si="63"/>
        <v>12.5</v>
      </c>
      <c r="P34" s="37"/>
      <c r="Q34" s="183">
        <v>0.41</v>
      </c>
      <c r="R34" s="140">
        <f>SUM('[1]117329'!$F$205:$Y$205)+SUM('[1]117729'!$F$205:$Y$205)</f>
        <v>730</v>
      </c>
      <c r="S34" s="195">
        <v>2200</v>
      </c>
      <c r="T34" s="142">
        <f t="shared" si="64"/>
        <v>0.33181818181818185</v>
      </c>
      <c r="U34" s="143">
        <f t="shared" si="29"/>
        <v>5.0582039911308208</v>
      </c>
      <c r="V34" s="37"/>
      <c r="W34" s="183">
        <v>0.16</v>
      </c>
      <c r="X34" s="140">
        <f>SUM('[6]117329'!$S$48+'[6]117329'!$T$48)+SUM('[6]117729'!$S$48+'[6]117729'!$T$48)</f>
        <v>28</v>
      </c>
      <c r="Y34" s="175">
        <v>127</v>
      </c>
      <c r="Z34" s="142">
        <f t="shared" si="30"/>
        <v>0.22047244094488189</v>
      </c>
      <c r="AA34" s="143">
        <f t="shared" si="65"/>
        <v>6.25</v>
      </c>
      <c r="AB34" s="43">
        <f t="shared" si="31"/>
        <v>11.308203991130821</v>
      </c>
      <c r="AC34" s="37"/>
      <c r="AD34" s="183">
        <v>0.27530431001932631</v>
      </c>
      <c r="AE34" s="175">
        <f>'[7]117329'!$C$36+'[7]117329'!$C$37+'[7]117729'!$C$36+'[7]117729'!$C$37</f>
        <v>1044</v>
      </c>
      <c r="AF34" s="175">
        <v>3637.2449999999999</v>
      </c>
      <c r="AG34" s="142">
        <f>IF(AD34="aut",100%,IF(AF34=0,100%,AE34/AF34))</f>
        <v>0.28703043099928655</v>
      </c>
      <c r="AH34" s="143">
        <f t="shared" si="66"/>
        <v>12.5</v>
      </c>
      <c r="AI34" s="37"/>
      <c r="AJ34" s="183">
        <v>0.89813575525812628</v>
      </c>
      <c r="AK34" s="175">
        <f>'[7]117329'!$C$63+'[7]117329'!$C$64+'[7]117329'!$C$61+'[7]117329'!$C$62+'[7]117729'!$C$63+'[7]117729'!$C$64+'[7]117729'!$C$61+'[7]117729'!$C$62</f>
        <v>2145</v>
      </c>
      <c r="AL34" s="175">
        <f>'[7]117329'!$C$17+'[7]117729'!$C$17</f>
        <v>2284</v>
      </c>
      <c r="AM34" s="142">
        <f t="shared" si="8"/>
        <v>0.93914185639229419</v>
      </c>
      <c r="AN34" s="143">
        <f t="shared" si="67"/>
        <v>12.5</v>
      </c>
      <c r="AO34" s="37"/>
      <c r="AP34" s="183">
        <v>0.38829155514006741</v>
      </c>
      <c r="AQ34" s="140">
        <f>'[7]117329'!$C$35+'[7]117329'!$C$34+'[7]117729'!$C$35+'[7]117729'!$C$34</f>
        <v>2435</v>
      </c>
      <c r="AR34" s="175">
        <v>8313.5159999999996</v>
      </c>
      <c r="AS34" s="142">
        <f t="shared" si="10"/>
        <v>0.29289653138335214</v>
      </c>
      <c r="AT34" s="143">
        <f t="shared" si="68"/>
        <v>9.4290143419967087</v>
      </c>
      <c r="AU34" s="37"/>
      <c r="AV34" s="183">
        <v>0.56990430622009569</v>
      </c>
      <c r="AW34" s="140">
        <f>SUM('[1]117329'!$H$61)+SUM('[1]117729'!$H$61)</f>
        <v>63</v>
      </c>
      <c r="AX34" s="140">
        <f>SUM('[1]117329'!$H$67)+SUM('[1]117729'!$H$67)</f>
        <v>95</v>
      </c>
      <c r="AY34" s="142">
        <f t="shared" si="12"/>
        <v>0.66315789473684206</v>
      </c>
      <c r="AZ34" s="143">
        <f t="shared" si="69"/>
        <v>12.5</v>
      </c>
      <c r="BA34" s="37"/>
      <c r="BB34" s="23">
        <v>0.1</v>
      </c>
      <c r="BC34" s="175">
        <f>SUM('[8]117329'!$H$59:$AM$59)+SUM('[8]117329'!$C$63)+SUM('[8]117729'!$H$59:$AM$59)+SUM('[8]117729'!$C$63)</f>
        <v>916</v>
      </c>
      <c r="BD34" s="175">
        <v>4588</v>
      </c>
      <c r="BE34" s="142">
        <f t="shared" si="57"/>
        <v>0.19965126416739321</v>
      </c>
      <c r="BF34" s="143">
        <f t="shared" si="70"/>
        <v>6.25</v>
      </c>
      <c r="BG34" s="37"/>
      <c r="BH34" s="37"/>
      <c r="BI34" s="23">
        <v>1</v>
      </c>
      <c r="BJ34" s="140"/>
      <c r="BK34" s="140"/>
      <c r="BL34" s="142">
        <f t="shared" si="71"/>
        <v>1</v>
      </c>
      <c r="BM34" s="143">
        <f t="shared" si="72"/>
        <v>6.25</v>
      </c>
      <c r="BN34" s="42"/>
      <c r="BO34" s="22"/>
      <c r="BP34" s="141">
        <f t="shared" si="84"/>
        <v>92.496477592386782</v>
      </c>
      <c r="BQ34" s="41" t="str">
        <f t="shared" si="73"/>
        <v>Tramo 1: 100% C. Variable</v>
      </c>
      <c r="BR34" s="158">
        <v>90</v>
      </c>
      <c r="BS34" s="159"/>
      <c r="BT34" s="159"/>
      <c r="BU34" s="159"/>
      <c r="BV34" s="159"/>
      <c r="BW34" s="159"/>
      <c r="BX34" s="159"/>
      <c r="BY34" s="159"/>
      <c r="BZ34" s="159"/>
      <c r="CA34" s="159"/>
      <c r="CB34" s="159"/>
      <c r="CC34" s="159"/>
      <c r="CD34" s="159"/>
      <c r="CE34" s="159"/>
      <c r="CF34" s="159"/>
      <c r="CG34" s="159"/>
      <c r="CH34" s="159"/>
      <c r="CI34" s="159"/>
      <c r="CJ34" s="159"/>
      <c r="CK34" s="159"/>
      <c r="CL34" s="159"/>
      <c r="CM34" s="159"/>
      <c r="CO34" s="160" t="s">
        <v>46</v>
      </c>
      <c r="CP34" s="161">
        <f t="shared" si="85"/>
        <v>0.9</v>
      </c>
      <c r="CQ34" s="173">
        <f t="shared" si="85"/>
        <v>8</v>
      </c>
      <c r="CR34" s="173">
        <f t="shared" si="85"/>
        <v>12</v>
      </c>
      <c r="CS34" s="161">
        <f t="shared" si="85"/>
        <v>0.66666666666666663</v>
      </c>
      <c r="CT34" s="162">
        <f t="shared" si="85"/>
        <v>9.2592592592592595</v>
      </c>
      <c r="CU34" s="160" t="s">
        <v>46</v>
      </c>
      <c r="CV34" s="161">
        <f t="shared" si="86"/>
        <v>0.9</v>
      </c>
      <c r="CW34" s="163">
        <f t="shared" si="86"/>
        <v>6812</v>
      </c>
      <c r="CX34" s="163">
        <f t="shared" si="86"/>
        <v>6485.6</v>
      </c>
      <c r="CY34" s="161">
        <f t="shared" si="86"/>
        <v>1.0503268780066608</v>
      </c>
      <c r="CZ34" s="162">
        <f t="shared" si="86"/>
        <v>12.5</v>
      </c>
      <c r="DA34" s="160" t="s">
        <v>46</v>
      </c>
      <c r="DB34" s="166">
        <f>Q34</f>
        <v>0.41</v>
      </c>
      <c r="DC34" s="163">
        <f t="shared" si="87"/>
        <v>730</v>
      </c>
      <c r="DD34" s="163">
        <f t="shared" si="87"/>
        <v>2200</v>
      </c>
      <c r="DE34" s="161">
        <f t="shared" si="87"/>
        <v>0.33181818181818185</v>
      </c>
      <c r="DF34" s="162">
        <f t="shared" si="87"/>
        <v>5.0582039911308208</v>
      </c>
      <c r="DG34" s="160" t="s">
        <v>46</v>
      </c>
      <c r="DH34" s="166">
        <f t="shared" si="88"/>
        <v>0.16</v>
      </c>
      <c r="DI34" s="163">
        <f t="shared" si="88"/>
        <v>28</v>
      </c>
      <c r="DJ34" s="163">
        <f t="shared" si="88"/>
        <v>127</v>
      </c>
      <c r="DK34" s="161">
        <f t="shared" si="88"/>
        <v>0.22047244094488189</v>
      </c>
      <c r="DL34" s="162">
        <f t="shared" si="88"/>
        <v>6.25</v>
      </c>
      <c r="DM34" s="165">
        <f t="shared" si="88"/>
        <v>11.308203991130821</v>
      </c>
      <c r="DN34" s="160" t="s">
        <v>46</v>
      </c>
      <c r="DO34" s="166">
        <f t="shared" si="89"/>
        <v>0.27530431001932631</v>
      </c>
      <c r="DP34" s="163">
        <f t="shared" si="89"/>
        <v>1044</v>
      </c>
      <c r="DQ34" s="163">
        <f t="shared" si="89"/>
        <v>3637.2449999999999</v>
      </c>
      <c r="DR34" s="161">
        <f t="shared" si="89"/>
        <v>0.28703043099928655</v>
      </c>
      <c r="DS34" s="162">
        <f t="shared" si="89"/>
        <v>12.5</v>
      </c>
      <c r="DT34" s="160" t="s">
        <v>46</v>
      </c>
      <c r="DU34" s="166">
        <f t="shared" si="90"/>
        <v>0.89813575525812628</v>
      </c>
      <c r="DV34" s="163">
        <f t="shared" si="90"/>
        <v>2145</v>
      </c>
      <c r="DW34" s="163">
        <f t="shared" si="90"/>
        <v>2284</v>
      </c>
      <c r="DX34" s="161">
        <f t="shared" si="90"/>
        <v>0.93914185639229419</v>
      </c>
      <c r="DY34" s="162">
        <f t="shared" si="90"/>
        <v>12.5</v>
      </c>
      <c r="DZ34" s="160" t="s">
        <v>46</v>
      </c>
      <c r="EA34" s="166">
        <f>AP34</f>
        <v>0.38829155514006741</v>
      </c>
      <c r="EB34" s="163">
        <f>AQ34</f>
        <v>2435</v>
      </c>
      <c r="EC34" s="163">
        <f>AR34</f>
        <v>8313.5159999999996</v>
      </c>
      <c r="ED34" s="161">
        <f>AS34</f>
        <v>0.29289653138335214</v>
      </c>
      <c r="EE34" s="162">
        <f>AB40</f>
        <v>0</v>
      </c>
      <c r="EF34" s="160" t="s">
        <v>46</v>
      </c>
      <c r="EG34" s="166">
        <f t="shared" si="91"/>
        <v>0.56990430622009569</v>
      </c>
      <c r="EH34" s="163">
        <f t="shared" si="91"/>
        <v>63</v>
      </c>
      <c r="EI34" s="163">
        <f t="shared" si="91"/>
        <v>95</v>
      </c>
      <c r="EJ34" s="161">
        <f t="shared" si="91"/>
        <v>0.66315789473684206</v>
      </c>
      <c r="EK34" s="162">
        <f t="shared" si="91"/>
        <v>12.5</v>
      </c>
      <c r="EL34" s="160" t="s">
        <v>46</v>
      </c>
      <c r="EM34" s="166">
        <f t="shared" si="92"/>
        <v>1</v>
      </c>
      <c r="EN34" s="163">
        <f t="shared" si="92"/>
        <v>0</v>
      </c>
      <c r="EO34" s="163">
        <f t="shared" si="92"/>
        <v>0</v>
      </c>
      <c r="EP34" s="161">
        <f t="shared" si="92"/>
        <v>1</v>
      </c>
      <c r="EQ34" s="162">
        <f t="shared" si="92"/>
        <v>6.25</v>
      </c>
      <c r="ER34" s="172">
        <f t="shared" si="83"/>
        <v>76.817463250390091</v>
      </c>
    </row>
    <row r="35" spans="1:148" ht="15" customHeight="1" outlineLevel="2" x14ac:dyDescent="0.2">
      <c r="A35" s="156" t="s">
        <v>95</v>
      </c>
      <c r="B35" s="46" t="s">
        <v>47</v>
      </c>
      <c r="C35" s="46" t="s">
        <v>67</v>
      </c>
      <c r="D35" s="45"/>
      <c r="E35" s="21">
        <v>0.9</v>
      </c>
      <c r="F35" s="140">
        <f>SUM('[1]117309'!$J$26:$M$26)+SUM('[1]117309'!$J$28:$M$28)+SUM('[1]117467'!$J$26:$M$26)+(SUM('[1]117467'!$J$28:$M$28)+SUM('[1]117470'!$J$26:$M$26)+(SUM('[1]117470'!$J$28:$M$28)))</f>
        <v>1</v>
      </c>
      <c r="G35" s="140">
        <f>SUM('[2]117309'!$J$22:$M$22)+SUM('[3]117309'!$J$22:$M$22)+SUM('[4]117309'!$J$22:$M$22)+SUM('[1]117309'!$J$23:$M$23) + SUM('[2]117467'!$J$22:$M$22)+SUM('[3]117467'!$J$22:$M$22)+SUM('[4]117467'!$J$22:$M$22)+SUM('[1]117467'!$J$23:$M$23) + SUM('[2]117470'!$J$22:$M$22)+SUM('[3]117470'!$J$22:$M$22)+SUM('[4]117470'!$J$22:$M$22)+SUM('[1]117470'!$J$23:$M$23)-(SUM('[2]117309'!$J$39:$M$39)+SUM('[3]117309'!$J$39:$M$39)+SUM('[4]117309'!$J$39:$M$39)+SUM('[1]117309'!$J$40:$M$40) + SUM('[2]117467'!$J$39:$M$39)+SUM('[3]117467'!$J$39:$M$39)+SUM('[4]117467'!$J$39:$M$39)+SUM('[1]117467'!$J$40:$M$40) + SUM('[2]117470'!$J$39:$M$39)+SUM('[3]117470'!$J$39:$M$39)+SUM('[4]117470'!$J$39:$M$39)+SUM('[1]117470'!$J$40:$M$40))</f>
        <v>2</v>
      </c>
      <c r="H35" s="142">
        <f t="shared" si="60"/>
        <v>0.5</v>
      </c>
      <c r="I35" s="143">
        <f t="shared" si="61"/>
        <v>6.9444444444444446</v>
      </c>
      <c r="J35" s="37"/>
      <c r="K35" s="23">
        <v>0.9</v>
      </c>
      <c r="L35" s="198">
        <f>SUM('[5]117309'!$B$11:$B$18)+SUM('[5]117467'!$B$11:$B$18)+SUM('[5]117470'!$B$11:$B$18)</f>
        <v>987</v>
      </c>
      <c r="M35" s="175">
        <v>1033.8</v>
      </c>
      <c r="N35" s="142">
        <f t="shared" si="62"/>
        <v>0.95473012188044115</v>
      </c>
      <c r="O35" s="143">
        <f t="shared" si="63"/>
        <v>12.5</v>
      </c>
      <c r="P35" s="37"/>
      <c r="Q35" s="183">
        <v>0.41</v>
      </c>
      <c r="R35" s="140">
        <f>SUM('[1]117309'!$F$205:$Y$205)+SUM('[1]117467'!$F$205:$Y$205)+SUM('[1]117470'!$F$205:$Y$205)</f>
        <v>179</v>
      </c>
      <c r="S35" s="175">
        <v>427</v>
      </c>
      <c r="T35" s="142">
        <f t="shared" si="64"/>
        <v>0.41920374707259955</v>
      </c>
      <c r="U35" s="143">
        <f t="shared" si="29"/>
        <v>6.25</v>
      </c>
      <c r="V35" s="37"/>
      <c r="W35" s="183">
        <v>0.16</v>
      </c>
      <c r="X35" s="140">
        <f>SUM('[6]117309'!$S$48+'[6]117309'!$T$48)+SUM('[6]117467'!$S$48+'[6]117467'!$T$48)+SUM('[6]117470'!$S$48+'[6]117470'!$T$48)</f>
        <v>8</v>
      </c>
      <c r="Y35" s="175">
        <v>50</v>
      </c>
      <c r="Z35" s="142">
        <f t="shared" si="30"/>
        <v>0.16</v>
      </c>
      <c r="AA35" s="143">
        <f t="shared" si="65"/>
        <v>6.25</v>
      </c>
      <c r="AB35" s="43">
        <f t="shared" si="31"/>
        <v>12.5</v>
      </c>
      <c r="AC35" s="37"/>
      <c r="AD35" s="183">
        <v>0.36692236054482208</v>
      </c>
      <c r="AE35" s="175">
        <f>'[7]117309'!$C$36+'[7]117309'!$C$37+'[7]117467'!$C$36+'[7]117467'!$C$37+'[7]117470'!$C$36+'[7]117470'!$C$37</f>
        <v>231</v>
      </c>
      <c r="AF35" s="175">
        <v>638.73900000000003</v>
      </c>
      <c r="AG35" s="142">
        <f t="shared" si="6"/>
        <v>0.36165006364101765</v>
      </c>
      <c r="AH35" s="143">
        <f t="shared" si="66"/>
        <v>12.320387857530136</v>
      </c>
      <c r="AI35" s="37"/>
      <c r="AJ35" s="183">
        <v>0.89308943089430892</v>
      </c>
      <c r="AK35" s="175">
        <f>'[7]117309'!$C$61+'[7]117309'!$C$62+'[7]117309'!$C$63+'[7]117309'!$C$64+'[7]117467'!$C$61+'[7]117467'!$C$62+'[7]117467'!$C$63+'[7]117467'!$C$64+'[7]117470'!$C$61+'[7]117470'!$C$62+'[7]117470'!$C$63+'[7]117470'!$C$64</f>
        <v>467</v>
      </c>
      <c r="AL35" s="175">
        <f>'[7]117309'!$C$17+'[7]117467'!$C$17+'[7]117470'!$C$17</f>
        <v>495</v>
      </c>
      <c r="AM35" s="142">
        <f t="shared" si="8"/>
        <v>0.9434343434343434</v>
      </c>
      <c r="AN35" s="143">
        <f t="shared" si="67"/>
        <v>12.5</v>
      </c>
      <c r="AO35" s="37"/>
      <c r="AP35" s="183">
        <v>0.57953547780681858</v>
      </c>
      <c r="AQ35" s="140">
        <f>'[7]117309'!$C$35+'[7]117309'!$C$34+'[7]117467'!$C$35+'[7]117467'!$C$34+'[7]117470'!$C$35+'[7]117470'!$C$34</f>
        <v>798</v>
      </c>
      <c r="AR35" s="175">
        <v>1457.5909999999999</v>
      </c>
      <c r="AS35" s="142">
        <f t="shared" si="10"/>
        <v>0.54747868229153451</v>
      </c>
      <c r="AT35" s="143">
        <f t="shared" si="68"/>
        <v>11.808567017402474</v>
      </c>
      <c r="AU35" s="37"/>
      <c r="AV35" s="183">
        <v>0.7</v>
      </c>
      <c r="AW35" s="140">
        <f>SUM('[1]117309'!$H$61)+SUM('[1]117467'!$H$61)+SUM('[1]117470'!$H$61)</f>
        <v>14</v>
      </c>
      <c r="AX35" s="140">
        <f>SUM('[1]117309'!$H$67)+SUM('[1]117467'!$H$67)+SUM('[1]117470'!$H$67)</f>
        <v>19</v>
      </c>
      <c r="AY35" s="142">
        <f t="shared" si="12"/>
        <v>0.73684210526315785</v>
      </c>
      <c r="AZ35" s="143">
        <f t="shared" si="69"/>
        <v>12.5</v>
      </c>
      <c r="BA35" s="37"/>
      <c r="BB35" s="23">
        <v>0.1</v>
      </c>
      <c r="BC35" s="175">
        <f>SUM('[8]117309'!$H$59:$AM$59)+SUM('[8]117309'!$C$63)+SUM('[8]117467'!$H$59:$AM$59)+SUM('[8]117467'!$C$63)+SUM('[8]117470'!$H$59:$AM$59)+SUM('[8]117470'!$C$63)</f>
        <v>149</v>
      </c>
      <c r="BD35" s="175">
        <v>816</v>
      </c>
      <c r="BE35" s="142">
        <f>IF(BB35="aut",100%,IF(BD35=0,100%,BC35/BD35))</f>
        <v>0.18259803921568626</v>
      </c>
      <c r="BF35" s="143">
        <f t="shared" si="70"/>
        <v>6.25</v>
      </c>
      <c r="BG35" s="37"/>
      <c r="BH35" s="37"/>
      <c r="BI35" s="23">
        <v>1</v>
      </c>
      <c r="BJ35" s="140"/>
      <c r="BK35" s="140"/>
      <c r="BL35" s="142">
        <f t="shared" si="71"/>
        <v>1</v>
      </c>
      <c r="BM35" s="143">
        <f t="shared" si="72"/>
        <v>6.25</v>
      </c>
      <c r="BN35" s="42"/>
      <c r="BO35" s="22"/>
      <c r="BP35" s="141">
        <f t="shared" si="84"/>
        <v>93.57339931937706</v>
      </c>
      <c r="BQ35" s="41" t="str">
        <f t="shared" si="73"/>
        <v>Tramo 1: 100% C. Variable</v>
      </c>
      <c r="BR35" s="69">
        <v>90</v>
      </c>
      <c r="CP35" s="166">
        <v>0.9</v>
      </c>
      <c r="CQ35" s="173">
        <f>SUM(CQ33:CQ34)</f>
        <v>12</v>
      </c>
      <c r="CR35" s="173">
        <f>SUM(CR33:CR34)</f>
        <v>19</v>
      </c>
      <c r="CS35" s="170">
        <f>CQ35/CR35</f>
        <v>0.63157894736842102</v>
      </c>
      <c r="CT35" s="162">
        <f>IF(CP35="aut",$C$2,IF(CS35&gt;=CP35,$C$2,((CS35/CP35)*$C$2)))</f>
        <v>8.7719298245614024</v>
      </c>
      <c r="CV35" s="166">
        <v>0.9</v>
      </c>
      <c r="CW35" s="163">
        <f>SUM(CW33:CW34)</f>
        <v>11677</v>
      </c>
      <c r="CX35" s="163">
        <f>SUM(CX33:CX34)</f>
        <v>11450.34</v>
      </c>
      <c r="CY35" s="170">
        <f>CW35/CX35</f>
        <v>1.0197950453872986</v>
      </c>
      <c r="CZ35" s="162">
        <f>IF(CV35="aut",$C$2,IF(CY35&gt;=CV35,$C$2,((CY35/CV35)*$C$2)))</f>
        <v>12.5</v>
      </c>
      <c r="DB35" s="166">
        <f>Q35</f>
        <v>0.41</v>
      </c>
      <c r="DC35" s="163">
        <f>SUM(DC33:DC34)</f>
        <v>1327</v>
      </c>
      <c r="DD35" s="163">
        <f>SUM(DD33:DD34)</f>
        <v>4147</v>
      </c>
      <c r="DE35" s="170">
        <f>DC35/DD35</f>
        <v>0.31999035447311308</v>
      </c>
      <c r="DF35" s="162">
        <f>IF(DB35="aut",$C$2,IF(DE35&gt;=DB35,$C$2/2,((DE35/DB35)*$C$2/2)))</f>
        <v>4.8779017450169677</v>
      </c>
      <c r="DH35" s="166">
        <f>DI35/DJ35</f>
        <v>0.17793594306049823</v>
      </c>
      <c r="DI35" s="163">
        <f>SUM(DI33:DI34)</f>
        <v>50</v>
      </c>
      <c r="DJ35" s="163">
        <f>SUM(DJ33:DJ34)</f>
        <v>281</v>
      </c>
      <c r="DK35" s="171">
        <f>IFERROR(DH35/DH35,0%)</f>
        <v>1</v>
      </c>
      <c r="DL35" s="165">
        <f>IF(W35="aut",($C$2/2),IF(Z35&gt;=W35,$C$2/2,((Z35/W35)*$C$2/2)))</f>
        <v>6.25</v>
      </c>
      <c r="DM35" s="165">
        <f>DF35+DL35</f>
        <v>11.127901745016967</v>
      </c>
      <c r="DO35" s="166">
        <v>0.28000000000000003</v>
      </c>
      <c r="DP35" s="163">
        <f>SUM(DP33:DP34)</f>
        <v>1899</v>
      </c>
      <c r="DQ35" s="163">
        <f>SUM(DQ33:DQ34)</f>
        <v>6522.6269999999995</v>
      </c>
      <c r="DR35" s="170">
        <f>DP35/DQ35</f>
        <v>0.2911403641508245</v>
      </c>
      <c r="DS35" s="162">
        <f>IF(DO35="aut",$C$2,IF(DR35&gt;=DO35,$C$2,((DR35/DO35)*$C$2)))</f>
        <v>12.5</v>
      </c>
      <c r="DU35" s="174">
        <v>0.83</v>
      </c>
      <c r="DV35" s="163">
        <f>SUM(DV33:DV34)</f>
        <v>3936</v>
      </c>
      <c r="DW35" s="163">
        <f>SUM(DW33:DW34)</f>
        <v>4451</v>
      </c>
      <c r="DX35" s="170">
        <f>DV35/DW35</f>
        <v>0.88429566389575376</v>
      </c>
      <c r="DY35" s="162">
        <f>IF(DU35="aut",$C$2,IF(DX35&gt;=DU35,$C$2,((DX35/DU35)*$C$2)))</f>
        <v>12.5</v>
      </c>
      <c r="EA35" s="166">
        <v>0.43</v>
      </c>
      <c r="EB35" s="163">
        <f>SUM(EB33:EB34)</f>
        <v>4755</v>
      </c>
      <c r="EC35" s="163">
        <f>SUM(EC33:EC34)</f>
        <v>14882.183999999999</v>
      </c>
      <c r="ED35" s="170">
        <f>EB35/EC35</f>
        <v>0.31950955585551155</v>
      </c>
      <c r="EE35" s="162">
        <f>IF(EA35="aut",$C$2,IF(ED35&gt;=EA35,$C$2,((ED35/EA35)*$C$2)))</f>
        <v>9.2880684841718484</v>
      </c>
      <c r="EG35" s="166">
        <v>0.6</v>
      </c>
      <c r="EH35" s="163">
        <f>SUM(EH33:EH34)</f>
        <v>97</v>
      </c>
      <c r="EI35" s="163">
        <f>SUM(EI33:EI34)</f>
        <v>158</v>
      </c>
      <c r="EJ35" s="170">
        <f>EH35/EI35</f>
        <v>0.61392405063291144</v>
      </c>
      <c r="EK35" s="162">
        <f>IF(EG35="aut",$C$2,IF(EJ35&gt;=EG35,$C$2,((EJ35/EG35)*$C$2)))</f>
        <v>12.5</v>
      </c>
      <c r="EM35" s="166">
        <v>0.8</v>
      </c>
      <c r="EN35" s="163">
        <f>SUM(EN33:EN34)</f>
        <v>0</v>
      </c>
      <c r="EO35" s="163">
        <f>SUM(EO33:EO34)</f>
        <v>0</v>
      </c>
      <c r="EP35" s="170" t="e">
        <f>EN35/EO35</f>
        <v>#DIV/0!</v>
      </c>
      <c r="EQ35" s="162" t="e">
        <f>IF(EM35="aut",$C$2,IF(EP35&gt;=EM35,$C$2,((EP35/EM35)*$C$2)))</f>
        <v>#DIV/0!</v>
      </c>
      <c r="ER35" s="172" t="e">
        <f t="shared" si="83"/>
        <v>#DIV/0!</v>
      </c>
    </row>
    <row r="36" spans="1:148" ht="15" customHeight="1" outlineLevel="2" x14ac:dyDescent="0.2">
      <c r="A36" s="156" t="s">
        <v>96</v>
      </c>
      <c r="B36" s="46" t="s">
        <v>35</v>
      </c>
      <c r="C36" s="46" t="s">
        <v>67</v>
      </c>
      <c r="D36" s="45"/>
      <c r="E36" s="21">
        <v>0.9</v>
      </c>
      <c r="F36" s="140">
        <f>SUM('[1]117312'!$J$26:$M$26)+SUM('[1]117312'!$J$28:$M$28)+SUM('[1]117471'!$J$26:$M$26)+SUM('[1]117471'!$J$28:$M$28)</f>
        <v>12</v>
      </c>
      <c r="G36" s="140">
        <f>SUM('[2]117312'!$J$22:$M$22)+SUM('[3]117312'!$J$22:$M$22)+SUM('[4]117312'!$J$22:$M$22)+SUM('[1]117312'!$J$23:$M$23) + SUM('[2]117471'!$J$22:$M$22)+SUM('[3]117471'!$J$22:$M$22)+SUM('[4]117471'!$J$22:$M$22)+SUM('[1]117471'!$J$23:$M$23)-(SUM('[2]117312'!$J$39:$M$39)+SUM('[3]117312'!$J$39:$M$39)+SUM('[4]117312'!$J$39:$M$39)+SUM('[1]117312'!$J$40:$M$40) + SUM('[2]117471'!$J$39:$M$39)+SUM('[3]117471'!$J$39:$M$39)+SUM('[4]117471'!$J$39:$M$39)+SUM('[1]117471'!$J$40:$M$40))</f>
        <v>19</v>
      </c>
      <c r="H36" s="142">
        <f t="shared" si="60"/>
        <v>0.63157894736842102</v>
      </c>
      <c r="I36" s="143">
        <f t="shared" si="61"/>
        <v>8.7719298245614024</v>
      </c>
      <c r="J36" s="37"/>
      <c r="K36" s="23">
        <v>0.9</v>
      </c>
      <c r="L36" s="198">
        <f>SUM('[5]117312'!$B$11:$B$18)+SUM('[5]117471'!$B$11:$B$18)</f>
        <v>2919</v>
      </c>
      <c r="M36" s="175">
        <v>2905.08</v>
      </c>
      <c r="N36" s="142">
        <f t="shared" si="62"/>
        <v>1.0047916064273616</v>
      </c>
      <c r="O36" s="143">
        <f t="shared" si="63"/>
        <v>12.5</v>
      </c>
      <c r="P36" s="37"/>
      <c r="Q36" s="183">
        <v>0.41</v>
      </c>
      <c r="R36" s="140">
        <f>SUM('[1]117312'!$F$205:$Y$205)+SUM('[1]117471'!$F$205:$Y$205)</f>
        <v>315</v>
      </c>
      <c r="S36" s="175">
        <v>1280</v>
      </c>
      <c r="T36" s="142">
        <f t="shared" si="64"/>
        <v>0.24609375</v>
      </c>
      <c r="U36" s="143">
        <f t="shared" si="29"/>
        <v>3.7514291158536586</v>
      </c>
      <c r="V36" s="37"/>
      <c r="W36" s="183">
        <v>0.16</v>
      </c>
      <c r="X36" s="140">
        <f>SUM('[6]117312'!$S$48+'[6]117312'!$T$48)+SUM('[6]117471'!$S$48+'[6]117471'!$T$48)</f>
        <v>29</v>
      </c>
      <c r="Y36" s="175">
        <v>118</v>
      </c>
      <c r="Z36" s="142">
        <f t="shared" si="30"/>
        <v>0.24576271186440679</v>
      </c>
      <c r="AA36" s="143">
        <f t="shared" si="65"/>
        <v>6.25</v>
      </c>
      <c r="AB36" s="43">
        <f t="shared" si="31"/>
        <v>10.001429115853659</v>
      </c>
      <c r="AC36" s="37"/>
      <c r="AD36" s="183">
        <v>0.28433270616901624</v>
      </c>
      <c r="AE36" s="175">
        <f>'[7]117312'!$C$36+'[7]117312'!$C$37+'[7]117471'!$C$36+'[7]117471'!$C$37</f>
        <v>585</v>
      </c>
      <c r="AF36" s="175">
        <v>1617.9299999999998</v>
      </c>
      <c r="AG36" s="142">
        <f t="shared" si="6"/>
        <v>0.36157312121043561</v>
      </c>
      <c r="AH36" s="143">
        <f t="shared" si="66"/>
        <v>12.5</v>
      </c>
      <c r="AI36" s="37"/>
      <c r="AJ36" s="183">
        <v>0.88923913043478275</v>
      </c>
      <c r="AK36" s="175">
        <f>'[7]117312'!$C$61+'[7]117312'!$C$62+'[7]117312'!$C$63+'[7]117312'!$C$64+'[7]117471'!$C$61+'[7]117471'!$C$62+'[7]117471'!$C$63+'[7]117471'!$C$64</f>
        <v>1281</v>
      </c>
      <c r="AL36" s="175">
        <f>'[7]117312'!$C$17+'[7]117471'!$C$17</f>
        <v>1440</v>
      </c>
      <c r="AM36" s="142">
        <f t="shared" si="8"/>
        <v>0.88958333333333328</v>
      </c>
      <c r="AN36" s="143">
        <f t="shared" si="67"/>
        <v>12.5</v>
      </c>
      <c r="AO36" s="37"/>
      <c r="AP36" s="183">
        <v>0.44438019490160224</v>
      </c>
      <c r="AQ36" s="140">
        <f>'[7]117312'!$C$35+'[7]117312'!$C$34+'[7]117471'!$C$35+'[7]117471'!$C$34</f>
        <v>1556</v>
      </c>
      <c r="AR36" s="175">
        <v>3692.585</v>
      </c>
      <c r="AS36" s="142">
        <f t="shared" si="10"/>
        <v>0.42138501889597668</v>
      </c>
      <c r="AT36" s="143">
        <f t="shared" si="68"/>
        <v>11.853167167735803</v>
      </c>
      <c r="AU36" s="37"/>
      <c r="AV36" s="183">
        <v>0.66666666666666663</v>
      </c>
      <c r="AW36" s="140">
        <f>SUM('[1]117312'!$H$61)+SUM('[1]117471'!$H$61)</f>
        <v>34</v>
      </c>
      <c r="AX36" s="140">
        <f>SUM('[1]117312'!$H$67)+SUM('[1]117471'!$H$67)</f>
        <v>53</v>
      </c>
      <c r="AY36" s="142">
        <f t="shared" si="12"/>
        <v>0.64150943396226412</v>
      </c>
      <c r="AZ36" s="143">
        <f t="shared" si="69"/>
        <v>12.028301886792454</v>
      </c>
      <c r="BA36" s="37"/>
      <c r="BB36" s="23">
        <v>0.1</v>
      </c>
      <c r="BC36" s="175">
        <f>SUM('[8]117312'!$H$59:$AM$59)+SUM('[8]117312'!$C$63)+SUM('[8]117471'!$H$59:$AM$59)+SUM('[8]117471'!$C$63)</f>
        <v>296</v>
      </c>
      <c r="BD36" s="175">
        <v>2115</v>
      </c>
      <c r="BE36" s="142">
        <f t="shared" si="57"/>
        <v>0.13995271867612294</v>
      </c>
      <c r="BF36" s="143">
        <f t="shared" si="70"/>
        <v>6.25</v>
      </c>
      <c r="BG36" s="37"/>
      <c r="BH36" s="37"/>
      <c r="BI36" s="23">
        <v>1</v>
      </c>
      <c r="BJ36" s="140"/>
      <c r="BK36" s="140"/>
      <c r="BL36" s="142">
        <f t="shared" si="71"/>
        <v>1</v>
      </c>
      <c r="BM36" s="143">
        <f t="shared" si="72"/>
        <v>6.25</v>
      </c>
      <c r="BN36" s="42"/>
      <c r="BO36" s="22"/>
      <c r="BP36" s="141">
        <f t="shared" si="84"/>
        <v>92.654827994943318</v>
      </c>
      <c r="BQ36" s="41" t="str">
        <f t="shared" si="73"/>
        <v>Tramo 1: 100% C. Variable</v>
      </c>
      <c r="BR36" s="69">
        <v>90</v>
      </c>
    </row>
    <row r="37" spans="1:148" ht="15" customHeight="1" outlineLevel="1" x14ac:dyDescent="0.2">
      <c r="B37" s="40"/>
      <c r="C37" s="36" t="s">
        <v>67</v>
      </c>
      <c r="D37" s="28"/>
      <c r="E37" s="60" t="s">
        <v>67</v>
      </c>
      <c r="F37" s="87">
        <f>SUM(F30:F36)</f>
        <v>48</v>
      </c>
      <c r="G37" s="87">
        <f>SUM(G30:G36)</f>
        <v>86</v>
      </c>
      <c r="H37" s="35">
        <f>IFERROR(F37/G37,"")</f>
        <v>0.55813953488372092</v>
      </c>
      <c r="I37" s="39"/>
      <c r="J37" s="26"/>
      <c r="K37" s="60" t="s">
        <v>67</v>
      </c>
      <c r="L37" s="180">
        <f>SUM(L30:L36)</f>
        <v>23770</v>
      </c>
      <c r="M37" s="87">
        <f>SUM(M30:M36)</f>
        <v>23709.559999999998</v>
      </c>
      <c r="N37" s="35">
        <f>IFERROR(L37/M37,"")</f>
        <v>1.0025491826925512</v>
      </c>
      <c r="O37" s="39"/>
      <c r="P37" s="26"/>
      <c r="Q37" s="60" t="s">
        <v>67</v>
      </c>
      <c r="R37" s="87">
        <f>SUM(R30:R36)</f>
        <v>3316</v>
      </c>
      <c r="S37" s="87">
        <f>SUM(S30:S36)</f>
        <v>9627</v>
      </c>
      <c r="T37" s="35">
        <f>IFERROR(R37/S37,"")</f>
        <v>0.34444790692843047</v>
      </c>
      <c r="U37" s="39"/>
      <c r="V37" s="26"/>
      <c r="W37" s="36" t="s">
        <v>67</v>
      </c>
      <c r="X37" s="87">
        <f>SUM(X30:X36)</f>
        <v>173</v>
      </c>
      <c r="Y37" s="87">
        <f>SUM(Y30:Y36)</f>
        <v>869</v>
      </c>
      <c r="Z37" s="35">
        <f>IFERROR(X37/Y37,"")</f>
        <v>0.19907940161104717</v>
      </c>
      <c r="AA37" s="38"/>
      <c r="AB37" s="35"/>
      <c r="AC37" s="24"/>
      <c r="AD37" s="36" t="s">
        <v>67</v>
      </c>
      <c r="AE37" s="180">
        <f>SUM(AE30:AE36)</f>
        <v>4481</v>
      </c>
      <c r="AF37" s="87">
        <f>SUM(AF30:AF36)</f>
        <v>13406.177999999998</v>
      </c>
      <c r="AG37" s="35">
        <f>IFERROR(AE37/AF37,"")</f>
        <v>0.33424888137394571</v>
      </c>
      <c r="AH37" s="35"/>
      <c r="AI37" s="24"/>
      <c r="AJ37" s="36" t="s">
        <v>67</v>
      </c>
      <c r="AK37" s="180">
        <f>SUM(AK30:AK36)</f>
        <v>9260</v>
      </c>
      <c r="AL37" s="87">
        <f>SUM(AL30:AL36)</f>
        <v>10418</v>
      </c>
      <c r="AM37" s="35">
        <f>IFERROR(AK37/AL37,"")</f>
        <v>0.88884622768285659</v>
      </c>
      <c r="AN37" s="35"/>
      <c r="AO37" s="24"/>
      <c r="AP37" s="60" t="s">
        <v>67</v>
      </c>
      <c r="AQ37" s="180">
        <f>SUM(AQ30:AQ36)</f>
        <v>11212</v>
      </c>
      <c r="AR37" s="87">
        <f>SUM(AR30:AR36)</f>
        <v>30560.679999999997</v>
      </c>
      <c r="AS37" s="35">
        <f>IFERROR(AQ37/AR37,"")</f>
        <v>0.36687665326818647</v>
      </c>
      <c r="AT37" s="35"/>
      <c r="AU37" s="24"/>
      <c r="AV37" s="60" t="s">
        <v>67</v>
      </c>
      <c r="AW37" s="87">
        <f>SUM(AW30:AW36)</f>
        <v>218</v>
      </c>
      <c r="AX37" s="87">
        <f>SUM(AX30:AX36)</f>
        <v>353</v>
      </c>
      <c r="AY37" s="35">
        <f>IFERROR(AW37/AX37,"")</f>
        <v>0.61756373937677056</v>
      </c>
      <c r="AZ37" s="35"/>
      <c r="BA37" s="24"/>
      <c r="BB37" s="60" t="s">
        <v>67</v>
      </c>
      <c r="BC37" s="87">
        <f>SUM(BC30:BC36)</f>
        <v>2739</v>
      </c>
      <c r="BD37" s="87">
        <f>SUM(BD30:BD36)</f>
        <v>17352</v>
      </c>
      <c r="BE37" s="35">
        <f>IFERROR(BC37/BD37,"")</f>
        <v>0.15784923928077454</v>
      </c>
      <c r="BF37" s="35"/>
      <c r="BG37" s="24"/>
      <c r="BH37" s="24"/>
      <c r="BI37" s="34" t="s">
        <v>67</v>
      </c>
      <c r="BJ37" s="87">
        <f>SUM(BJ30:BJ36)</f>
        <v>0</v>
      </c>
      <c r="BK37" s="87">
        <f>SUM(BK30:BK36)</f>
        <v>0</v>
      </c>
      <c r="BL37" s="35" t="str">
        <f>IFERROR(BJ37/BK37,"")</f>
        <v/>
      </c>
      <c r="BM37" s="33"/>
      <c r="BN37" s="33"/>
      <c r="BO37" s="22"/>
      <c r="BP37" s="32"/>
      <c r="BQ37" s="31"/>
    </row>
    <row r="38" spans="1:148" ht="15" customHeight="1" x14ac:dyDescent="0.2">
      <c r="B38" s="30"/>
      <c r="C38" s="29" t="s">
        <v>66</v>
      </c>
      <c r="D38" s="28"/>
      <c r="E38" s="21" t="s">
        <v>65</v>
      </c>
      <c r="F38" s="89">
        <f>F21+F29+F37</f>
        <v>133</v>
      </c>
      <c r="G38" s="89">
        <f>G21+G29+G37</f>
        <v>229</v>
      </c>
      <c r="H38" s="21">
        <f>IFERROR(F38/G38,"")</f>
        <v>0.58078602620087338</v>
      </c>
      <c r="I38" s="27"/>
      <c r="J38" s="26"/>
      <c r="K38" s="21" t="s">
        <v>65</v>
      </c>
      <c r="L38" s="196">
        <f>L21+L29+L37</f>
        <v>73780</v>
      </c>
      <c r="M38" s="89">
        <f>M21+M29+M37</f>
        <v>76897.8</v>
      </c>
      <c r="N38" s="21">
        <f>IFERROR(L38/M38,"")</f>
        <v>0.95945527700402344</v>
      </c>
      <c r="O38" s="27"/>
      <c r="P38" s="26"/>
      <c r="Q38" s="21" t="s">
        <v>65</v>
      </c>
      <c r="R38" s="89">
        <f>R21+R29+R37</f>
        <v>10801</v>
      </c>
      <c r="S38" s="89">
        <f>S21+S29+S37</f>
        <v>36742</v>
      </c>
      <c r="T38" s="21">
        <f>IFERROR(R38/S38,"")</f>
        <v>0.29396875510315168</v>
      </c>
      <c r="U38" s="27"/>
      <c r="V38" s="26"/>
      <c r="W38" s="21" t="s">
        <v>65</v>
      </c>
      <c r="X38" s="89">
        <f>X21+X29+X37</f>
        <v>617</v>
      </c>
      <c r="Y38" s="89">
        <f>Y21+Y29+Y37</f>
        <v>3737</v>
      </c>
      <c r="Z38" s="21">
        <f>IFERROR(X38/Y38,"")</f>
        <v>0.16510569975916511</v>
      </c>
      <c r="AA38" s="27"/>
      <c r="AB38" s="21"/>
      <c r="AC38" s="24"/>
      <c r="AD38" s="25" t="s">
        <v>65</v>
      </c>
      <c r="AE38" s="89">
        <f>AE21+AE29+AE37</f>
        <v>13833</v>
      </c>
      <c r="AF38" s="89">
        <f>AF21+AF29+AF37</f>
        <v>45659.981999999996</v>
      </c>
      <c r="AG38" s="21">
        <f>IFERROR(AE38/AF38,"")</f>
        <v>0.30295675543630307</v>
      </c>
      <c r="AH38" s="21"/>
      <c r="AI38" s="24"/>
      <c r="AJ38" s="21" t="s">
        <v>65</v>
      </c>
      <c r="AK38" s="89">
        <f>AK21+AK29+AK37</f>
        <v>29060</v>
      </c>
      <c r="AL38" s="89">
        <f>AL21+AL29+AL37</f>
        <v>34633</v>
      </c>
      <c r="AM38" s="21">
        <f>IFERROR(AK38/AL38,"")</f>
        <v>0.83908411053041898</v>
      </c>
      <c r="AN38" s="21"/>
      <c r="AO38" s="24"/>
      <c r="AP38" s="21" t="s">
        <v>65</v>
      </c>
      <c r="AQ38" s="89">
        <f>AQ21+AQ29+AQ37</f>
        <v>37694</v>
      </c>
      <c r="AR38" s="89">
        <f>AR21+AR29+AR37</f>
        <v>103792.155</v>
      </c>
      <c r="AS38" s="21">
        <f>IFERROR(AQ38/AR38,"")</f>
        <v>0.3631681026374296</v>
      </c>
      <c r="AT38" s="21"/>
      <c r="AU38" s="24"/>
      <c r="AV38" s="21" t="s">
        <v>65</v>
      </c>
      <c r="AW38" s="89">
        <f>AW21+AW29+AW37</f>
        <v>732</v>
      </c>
      <c r="AX38" s="89">
        <f>AX21+AX29+AX37</f>
        <v>1221</v>
      </c>
      <c r="AY38" s="21">
        <f>IFERROR(AW38/AX38,"")</f>
        <v>0.59950859950859947</v>
      </c>
      <c r="AZ38" s="21"/>
      <c r="BA38" s="24"/>
      <c r="BB38" s="21" t="s">
        <v>65</v>
      </c>
      <c r="BC38" s="89">
        <f>+BC21+BC29+BC37</f>
        <v>9466</v>
      </c>
      <c r="BD38" s="89">
        <f>+BD21+BD29+BD37</f>
        <v>59851</v>
      </c>
      <c r="BE38" s="21"/>
      <c r="BF38" s="21"/>
      <c r="BG38" s="24"/>
      <c r="BH38" s="24"/>
      <c r="BI38" s="21" t="s">
        <v>65</v>
      </c>
      <c r="BJ38" s="20">
        <f>BJ21+BJ29+BJ37</f>
        <v>0</v>
      </c>
      <c r="BK38" s="20">
        <f>BK21+BK29+BK37</f>
        <v>0</v>
      </c>
      <c r="BL38" s="21" t="str">
        <f>IFERROR(BJ38/BK38,"")</f>
        <v/>
      </c>
      <c r="BM38" s="23"/>
      <c r="BN38" s="23"/>
      <c r="BO38" s="22"/>
      <c r="BP38" s="21"/>
      <c r="BQ38" s="20"/>
    </row>
    <row r="39" spans="1:148" ht="6.75" customHeight="1" x14ac:dyDescent="0.25">
      <c r="I39"/>
      <c r="J39" s="1"/>
      <c r="AT39"/>
      <c r="AU39" s="1"/>
    </row>
    <row r="40" spans="1:148" ht="27" customHeight="1" x14ac:dyDescent="0.25">
      <c r="E40" s="208" t="s">
        <v>64</v>
      </c>
      <c r="F40" s="208"/>
      <c r="G40" s="208"/>
      <c r="H40" s="208"/>
      <c r="I40" s="208"/>
      <c r="J40" s="1"/>
      <c r="K40" s="208" t="s">
        <v>63</v>
      </c>
      <c r="L40" s="208"/>
      <c r="M40" s="208"/>
      <c r="N40" s="208"/>
      <c r="O40" s="208"/>
      <c r="P40" s="19"/>
      <c r="Q40" s="208" t="s">
        <v>99</v>
      </c>
      <c r="R40" s="208"/>
      <c r="S40" s="208"/>
      <c r="T40" s="208"/>
      <c r="U40" s="208"/>
      <c r="V40" s="1"/>
      <c r="W40" s="208" t="s">
        <v>115</v>
      </c>
      <c r="X40" s="208"/>
      <c r="Y40" s="208"/>
      <c r="Z40" s="208"/>
      <c r="AA40" s="208"/>
      <c r="AB40"/>
      <c r="AC40" s="1"/>
      <c r="AD40" s="208" t="s">
        <v>116</v>
      </c>
      <c r="AE40" s="208"/>
      <c r="AF40" s="208"/>
      <c r="AG40" s="208"/>
      <c r="AH40" s="208"/>
      <c r="AI40" s="1"/>
      <c r="AJ40" s="208" t="s">
        <v>62</v>
      </c>
      <c r="AK40" s="208"/>
      <c r="AL40" s="208"/>
      <c r="AM40" s="208"/>
      <c r="AN40" s="208"/>
      <c r="AO40" s="1"/>
      <c r="AP40" s="208" t="s">
        <v>100</v>
      </c>
      <c r="AQ40" s="208"/>
      <c r="AR40" s="208"/>
      <c r="AS40" s="208"/>
      <c r="AT40" s="208"/>
      <c r="AU40" s="1"/>
      <c r="AV40" s="208" t="s">
        <v>61</v>
      </c>
      <c r="AW40" s="208"/>
      <c r="AX40" s="208"/>
      <c r="AY40" s="208"/>
      <c r="AZ40" s="208"/>
      <c r="BA40" s="1"/>
      <c r="BB40" s="208" t="s">
        <v>265</v>
      </c>
      <c r="BC40" s="208"/>
      <c r="BD40" s="208"/>
      <c r="BE40" s="208"/>
      <c r="BF40" s="208"/>
      <c r="BG40" s="1"/>
      <c r="BH40" s="1"/>
      <c r="BI40" s="209" t="s">
        <v>60</v>
      </c>
      <c r="BJ40" s="210"/>
      <c r="BK40" s="210"/>
      <c r="BL40" s="210"/>
      <c r="BM40" s="211"/>
      <c r="BN40"/>
      <c r="BO40" s="1"/>
      <c r="BP40"/>
    </row>
    <row r="41" spans="1:148" ht="18.75" customHeight="1" x14ac:dyDescent="0.25">
      <c r="E41" s="18" t="s">
        <v>59</v>
      </c>
      <c r="F41" s="18" t="s">
        <v>56</v>
      </c>
      <c r="G41" s="18" t="s">
        <v>57</v>
      </c>
      <c r="H41" s="18" t="s">
        <v>55</v>
      </c>
      <c r="I41" s="16" t="s">
        <v>97</v>
      </c>
      <c r="J41" s="1"/>
      <c r="K41" s="16" t="s">
        <v>58</v>
      </c>
      <c r="L41" s="16" t="s">
        <v>56</v>
      </c>
      <c r="M41" s="16" t="s">
        <v>57</v>
      </c>
      <c r="N41" s="16" t="s">
        <v>55</v>
      </c>
      <c r="O41" s="16" t="s">
        <v>97</v>
      </c>
      <c r="P41" s="15"/>
      <c r="Q41" s="16" t="s">
        <v>58</v>
      </c>
      <c r="R41" s="16" t="s">
        <v>56</v>
      </c>
      <c r="S41" s="16" t="s">
        <v>57</v>
      </c>
      <c r="T41" s="16" t="s">
        <v>55</v>
      </c>
      <c r="U41" s="16" t="s">
        <v>97</v>
      </c>
      <c r="V41" s="1"/>
      <c r="W41" s="16" t="s">
        <v>58</v>
      </c>
      <c r="X41" s="16" t="s">
        <v>56</v>
      </c>
      <c r="Y41" s="16" t="s">
        <v>57</v>
      </c>
      <c r="Z41" s="16" t="s">
        <v>55</v>
      </c>
      <c r="AA41" s="16" t="s">
        <v>97</v>
      </c>
      <c r="AB41"/>
      <c r="AC41" s="1"/>
      <c r="AD41" s="17" t="s">
        <v>58</v>
      </c>
      <c r="AE41" s="16" t="s">
        <v>56</v>
      </c>
      <c r="AF41" s="16" t="s">
        <v>57</v>
      </c>
      <c r="AG41" s="16" t="s">
        <v>55</v>
      </c>
      <c r="AH41" s="16" t="s">
        <v>97</v>
      </c>
      <c r="AI41" s="1"/>
      <c r="AJ41" s="16" t="s">
        <v>58</v>
      </c>
      <c r="AK41" s="16" t="s">
        <v>56</v>
      </c>
      <c r="AL41" s="16" t="s">
        <v>57</v>
      </c>
      <c r="AM41" s="16" t="s">
        <v>55</v>
      </c>
      <c r="AN41" s="16" t="s">
        <v>97</v>
      </c>
      <c r="AO41" s="1"/>
      <c r="AP41" s="16" t="s">
        <v>58</v>
      </c>
      <c r="AQ41" s="16" t="s">
        <v>56</v>
      </c>
      <c r="AR41" s="16" t="s">
        <v>57</v>
      </c>
      <c r="AS41" s="16" t="s">
        <v>55</v>
      </c>
      <c r="AT41" s="16" t="s">
        <v>97</v>
      </c>
      <c r="AU41" s="1"/>
      <c r="AV41" s="16" t="s">
        <v>58</v>
      </c>
      <c r="AW41" s="16" t="s">
        <v>56</v>
      </c>
      <c r="AX41" s="16" t="s">
        <v>57</v>
      </c>
      <c r="AY41" s="16" t="s">
        <v>55</v>
      </c>
      <c r="AZ41" s="16" t="s">
        <v>97</v>
      </c>
      <c r="BA41" s="1"/>
      <c r="BB41" s="16" t="s">
        <v>58</v>
      </c>
      <c r="BC41" s="16" t="s">
        <v>56</v>
      </c>
      <c r="BD41" s="16" t="s">
        <v>57</v>
      </c>
      <c r="BE41" s="16" t="s">
        <v>55</v>
      </c>
      <c r="BF41" s="16" t="s">
        <v>97</v>
      </c>
      <c r="BG41" s="1"/>
      <c r="BH41" s="1"/>
      <c r="BI41" s="16" t="s">
        <v>56</v>
      </c>
      <c r="BJ41" s="16" t="s">
        <v>56</v>
      </c>
      <c r="BK41" s="16" t="s">
        <v>57</v>
      </c>
      <c r="BL41" s="16" t="s">
        <v>55</v>
      </c>
      <c r="BM41" s="16" t="s">
        <v>97</v>
      </c>
      <c r="BN41" s="14"/>
      <c r="BO41" s="14"/>
      <c r="BP41" s="15"/>
      <c r="BQ41" s="14"/>
      <c r="BR41" s="4"/>
    </row>
    <row r="42" spans="1:148" ht="15" x14ac:dyDescent="0.25">
      <c r="E42" s="9" t="s">
        <v>69</v>
      </c>
      <c r="F42" s="138">
        <f>F21</f>
        <v>76</v>
      </c>
      <c r="G42" s="138">
        <f>G21</f>
        <v>127</v>
      </c>
      <c r="H42" s="10">
        <f>H21</f>
        <v>0.59842519685039375</v>
      </c>
      <c r="I42" s="66">
        <v>0.9</v>
      </c>
      <c r="J42" s="1"/>
      <c r="K42" s="9" t="s">
        <v>69</v>
      </c>
      <c r="L42" s="138">
        <f>L21</f>
        <v>43864</v>
      </c>
      <c r="M42" s="138">
        <f>M21</f>
        <v>46905.48</v>
      </c>
      <c r="N42" s="10">
        <f>N21</f>
        <v>0.93515725667875049</v>
      </c>
      <c r="O42" s="66">
        <v>0.9</v>
      </c>
      <c r="P42" s="12"/>
      <c r="Q42" s="9" t="s">
        <v>69</v>
      </c>
      <c r="R42" s="138">
        <f>R21</f>
        <v>6634</v>
      </c>
      <c r="S42" s="138">
        <f>S21</f>
        <v>24839</v>
      </c>
      <c r="T42" s="10">
        <f>T21</f>
        <v>0.26707999516888764</v>
      </c>
      <c r="U42" s="66">
        <v>0.35</v>
      </c>
      <c r="V42" s="1"/>
      <c r="W42" s="9" t="s">
        <v>69</v>
      </c>
      <c r="X42" s="138">
        <f>X21</f>
        <v>381</v>
      </c>
      <c r="Y42" s="138">
        <f>Y21</f>
        <v>2625</v>
      </c>
      <c r="Z42" s="10">
        <f>Z21</f>
        <v>0.14514285714285713</v>
      </c>
      <c r="AA42" s="66">
        <v>0.11</v>
      </c>
      <c r="AB42"/>
      <c r="AC42" s="1"/>
      <c r="AD42" s="9" t="s">
        <v>69</v>
      </c>
      <c r="AE42" s="138">
        <f>AE21</f>
        <v>7940</v>
      </c>
      <c r="AF42" s="138">
        <f>AF21</f>
        <v>27976.970999999998</v>
      </c>
      <c r="AG42" s="10">
        <f>AG21</f>
        <v>0.28380484792295779</v>
      </c>
      <c r="AH42" s="66">
        <v>0.28000000000000003</v>
      </c>
      <c r="AI42" s="1"/>
      <c r="AJ42" s="9" t="s">
        <v>69</v>
      </c>
      <c r="AK42" s="138">
        <f>AK21</f>
        <v>16527</v>
      </c>
      <c r="AL42" s="138">
        <f>AL21</f>
        <v>20479</v>
      </c>
      <c r="AM42" s="10">
        <f>AM21</f>
        <v>0.80702182723765814</v>
      </c>
      <c r="AN42" s="66">
        <v>0.9</v>
      </c>
      <c r="AO42" s="1"/>
      <c r="AP42" s="9" t="s">
        <v>69</v>
      </c>
      <c r="AQ42" s="138">
        <f>AQ21</f>
        <v>22194</v>
      </c>
      <c r="AR42" s="138">
        <f>AR21</f>
        <v>63384.646999999997</v>
      </c>
      <c r="AS42" s="10">
        <f>AS21</f>
        <v>0.35014788360342214</v>
      </c>
      <c r="AT42" s="66">
        <v>0.43</v>
      </c>
      <c r="AU42" s="1"/>
      <c r="AV42" s="9" t="s">
        <v>69</v>
      </c>
      <c r="AW42" s="138">
        <f>AW21</f>
        <v>460</v>
      </c>
      <c r="AX42" s="138">
        <f>AX21</f>
        <v>786</v>
      </c>
      <c r="AY42" s="10">
        <f>AY21</f>
        <v>0.58524173027989823</v>
      </c>
      <c r="AZ42" s="66">
        <v>0.6</v>
      </c>
      <c r="BA42" s="1"/>
      <c r="BB42" s="9" t="s">
        <v>69</v>
      </c>
      <c r="BC42" s="138">
        <f>BC21</f>
        <v>5864</v>
      </c>
      <c r="BD42" s="138">
        <f>BD21</f>
        <v>37338</v>
      </c>
      <c r="BE42" s="10">
        <f>BE21</f>
        <v>0.15705179709679148</v>
      </c>
      <c r="BF42" s="66">
        <v>0.6</v>
      </c>
      <c r="BG42" s="1"/>
      <c r="BH42" s="1"/>
      <c r="BI42" s="9" t="s">
        <v>69</v>
      </c>
      <c r="BJ42" s="11">
        <f>BJ21</f>
        <v>0</v>
      </c>
      <c r="BK42" s="11">
        <f>BK21</f>
        <v>0</v>
      </c>
      <c r="BL42" s="10" t="str">
        <f>BL21</f>
        <v/>
      </c>
      <c r="BM42" s="66">
        <v>0.8</v>
      </c>
      <c r="BN42" s="7"/>
      <c r="BO42" s="7"/>
      <c r="BP42" s="8"/>
      <c r="BQ42" s="7"/>
      <c r="BR42" s="6"/>
    </row>
    <row r="43" spans="1:148" ht="15" x14ac:dyDescent="0.25">
      <c r="E43" s="9" t="s">
        <v>68</v>
      </c>
      <c r="F43" s="138">
        <f>F29</f>
        <v>9</v>
      </c>
      <c r="G43" s="138">
        <f>G29</f>
        <v>16</v>
      </c>
      <c r="H43" s="10">
        <f>H29</f>
        <v>0.5625</v>
      </c>
      <c r="I43" s="66">
        <v>0.9</v>
      </c>
      <c r="J43" s="1"/>
      <c r="K43" s="9" t="s">
        <v>68</v>
      </c>
      <c r="L43" s="138">
        <f>L29</f>
        <v>6146</v>
      </c>
      <c r="M43" s="138">
        <f>M29</f>
        <v>6282.76</v>
      </c>
      <c r="N43" s="10">
        <f>N29</f>
        <v>0.97823249654610389</v>
      </c>
      <c r="O43" s="66">
        <v>0.9</v>
      </c>
      <c r="P43" s="12"/>
      <c r="Q43" s="9" t="s">
        <v>68</v>
      </c>
      <c r="R43" s="138">
        <f>R29</f>
        <v>851</v>
      </c>
      <c r="S43" s="138">
        <f>S29</f>
        <v>2276</v>
      </c>
      <c r="T43" s="10">
        <f>T29</f>
        <v>0.37390158172231985</v>
      </c>
      <c r="U43" s="66">
        <v>0.35</v>
      </c>
      <c r="V43" s="1"/>
      <c r="W43" s="9" t="s">
        <v>68</v>
      </c>
      <c r="X43" s="138">
        <f>X29</f>
        <v>63</v>
      </c>
      <c r="Y43" s="138">
        <f>Y29</f>
        <v>243</v>
      </c>
      <c r="Z43" s="10">
        <f>Z29</f>
        <v>0.25925925925925924</v>
      </c>
      <c r="AA43" s="66">
        <v>0.11</v>
      </c>
      <c r="AB43"/>
      <c r="AC43" s="1"/>
      <c r="AD43" s="9" t="s">
        <v>68</v>
      </c>
      <c r="AE43" s="138">
        <f>AE29</f>
        <v>1412</v>
      </c>
      <c r="AF43" s="138">
        <f>AF29</f>
        <v>4276.8329999999996</v>
      </c>
      <c r="AG43" s="10">
        <f>AG29</f>
        <v>0.33015083824876962</v>
      </c>
      <c r="AH43" s="66">
        <v>0.28000000000000003</v>
      </c>
      <c r="AI43" s="1"/>
      <c r="AJ43" s="9" t="s">
        <v>68</v>
      </c>
      <c r="AK43" s="138">
        <f>AK29</f>
        <v>3273</v>
      </c>
      <c r="AL43" s="138">
        <f>AL29</f>
        <v>3736</v>
      </c>
      <c r="AM43" s="10">
        <f>AM29</f>
        <v>0.87607066381156318</v>
      </c>
      <c r="AN43" s="66">
        <v>0.9</v>
      </c>
      <c r="AO43" s="1"/>
      <c r="AP43" s="9" t="s">
        <v>68</v>
      </c>
      <c r="AQ43" s="138">
        <f>AQ29</f>
        <v>4288</v>
      </c>
      <c r="AR43" s="138">
        <f>AR29</f>
        <v>9846.8280000000013</v>
      </c>
      <c r="AS43" s="10">
        <f>AS29</f>
        <v>0.43547018390084596</v>
      </c>
      <c r="AT43" s="66">
        <v>0.43</v>
      </c>
      <c r="AU43" s="1"/>
      <c r="AV43" s="9" t="s">
        <v>68</v>
      </c>
      <c r="AW43" s="138">
        <f>AW29</f>
        <v>54</v>
      </c>
      <c r="AX43" s="138">
        <f>AX29</f>
        <v>82</v>
      </c>
      <c r="AY43" s="10">
        <f>AY29</f>
        <v>0.65853658536585369</v>
      </c>
      <c r="AZ43" s="66">
        <v>0.6</v>
      </c>
      <c r="BA43" s="1"/>
      <c r="BB43" s="9" t="s">
        <v>68</v>
      </c>
      <c r="BC43" s="138">
        <f>BC29</f>
        <v>863</v>
      </c>
      <c r="BD43" s="138">
        <f>BD29</f>
        <v>5161</v>
      </c>
      <c r="BE43" s="10">
        <f>BE29</f>
        <v>0.1672156558806433</v>
      </c>
      <c r="BF43" s="66">
        <v>0.6</v>
      </c>
      <c r="BG43" s="1"/>
      <c r="BH43" s="1"/>
      <c r="BI43" s="9" t="s">
        <v>68</v>
      </c>
      <c r="BJ43" s="11">
        <f>BJ29</f>
        <v>0</v>
      </c>
      <c r="BK43" s="11">
        <f>BK29</f>
        <v>0</v>
      </c>
      <c r="BL43" s="10" t="str">
        <f>BL29</f>
        <v/>
      </c>
      <c r="BM43" s="66">
        <v>0.8</v>
      </c>
      <c r="BN43" s="7"/>
      <c r="BO43" s="7"/>
      <c r="BP43" s="8"/>
      <c r="BQ43" s="7"/>
      <c r="BR43" s="6"/>
    </row>
    <row r="44" spans="1:148" ht="15" x14ac:dyDescent="0.25">
      <c r="E44" s="9" t="s">
        <v>67</v>
      </c>
      <c r="F44" s="138">
        <f t="shared" ref="E44:H45" si="93">F37</f>
        <v>48</v>
      </c>
      <c r="G44" s="138">
        <f t="shared" si="93"/>
        <v>86</v>
      </c>
      <c r="H44" s="10">
        <f t="shared" si="93"/>
        <v>0.55813953488372092</v>
      </c>
      <c r="I44" s="66">
        <v>0.9</v>
      </c>
      <c r="J44" s="1"/>
      <c r="K44" s="9" t="s">
        <v>67</v>
      </c>
      <c r="L44" s="138">
        <f t="shared" ref="L44:N45" si="94">L37</f>
        <v>23770</v>
      </c>
      <c r="M44" s="138">
        <f t="shared" si="94"/>
        <v>23709.559999999998</v>
      </c>
      <c r="N44" s="10">
        <f t="shared" si="94"/>
        <v>1.0025491826925512</v>
      </c>
      <c r="O44" s="66">
        <v>0.9</v>
      </c>
      <c r="P44" s="12"/>
      <c r="Q44" s="9" t="s">
        <v>67</v>
      </c>
      <c r="R44" s="138">
        <f t="shared" ref="R44:T45" si="95">R37</f>
        <v>3316</v>
      </c>
      <c r="S44" s="138">
        <f t="shared" si="95"/>
        <v>9627</v>
      </c>
      <c r="T44" s="10">
        <f t="shared" si="95"/>
        <v>0.34444790692843047</v>
      </c>
      <c r="U44" s="66">
        <v>0.35</v>
      </c>
      <c r="V44" s="1"/>
      <c r="W44" s="9" t="s">
        <v>67</v>
      </c>
      <c r="X44" s="138">
        <f t="shared" ref="X44:Z45" si="96">X37</f>
        <v>173</v>
      </c>
      <c r="Y44" s="138">
        <f t="shared" si="96"/>
        <v>869</v>
      </c>
      <c r="Z44" s="10">
        <f t="shared" si="96"/>
        <v>0.19907940161104717</v>
      </c>
      <c r="AA44" s="66">
        <v>0.11</v>
      </c>
      <c r="AB44"/>
      <c r="AC44" s="1"/>
      <c r="AD44" s="9" t="s">
        <v>67</v>
      </c>
      <c r="AE44" s="138">
        <f t="shared" ref="AE44:AG45" si="97">AE37</f>
        <v>4481</v>
      </c>
      <c r="AF44" s="138">
        <f t="shared" si="97"/>
        <v>13406.177999999998</v>
      </c>
      <c r="AG44" s="10">
        <f t="shared" si="97"/>
        <v>0.33424888137394571</v>
      </c>
      <c r="AH44" s="66">
        <v>0.28000000000000003</v>
      </c>
      <c r="AI44" s="1"/>
      <c r="AJ44" s="9" t="s">
        <v>67</v>
      </c>
      <c r="AK44" s="138">
        <f t="shared" ref="AK44:AM45" si="98">AK37</f>
        <v>9260</v>
      </c>
      <c r="AL44" s="138">
        <f t="shared" si="98"/>
        <v>10418</v>
      </c>
      <c r="AM44" s="10">
        <f t="shared" si="98"/>
        <v>0.88884622768285659</v>
      </c>
      <c r="AN44" s="66">
        <v>0.9</v>
      </c>
      <c r="AO44" s="1"/>
      <c r="AP44" s="9" t="s">
        <v>67</v>
      </c>
      <c r="AQ44" s="138">
        <f t="shared" ref="AQ44:AS45" si="99">AQ37</f>
        <v>11212</v>
      </c>
      <c r="AR44" s="138">
        <f t="shared" si="99"/>
        <v>30560.679999999997</v>
      </c>
      <c r="AS44" s="10">
        <f t="shared" si="99"/>
        <v>0.36687665326818647</v>
      </c>
      <c r="AT44" s="66">
        <v>0.43</v>
      </c>
      <c r="AU44" s="1"/>
      <c r="AV44" s="9" t="s">
        <v>67</v>
      </c>
      <c r="AW44" s="138">
        <f t="shared" ref="AW44:AY45" si="100">AW37</f>
        <v>218</v>
      </c>
      <c r="AX44" s="138">
        <f t="shared" si="100"/>
        <v>353</v>
      </c>
      <c r="AY44" s="10">
        <f t="shared" si="100"/>
        <v>0.61756373937677056</v>
      </c>
      <c r="AZ44" s="66">
        <v>0.6</v>
      </c>
      <c r="BA44" s="1"/>
      <c r="BB44" s="9" t="s">
        <v>67</v>
      </c>
      <c r="BC44" s="138">
        <f t="shared" ref="BC44:BE45" si="101">BC37</f>
        <v>2739</v>
      </c>
      <c r="BD44" s="138">
        <f t="shared" si="101"/>
        <v>17352</v>
      </c>
      <c r="BE44" s="10">
        <f t="shared" si="101"/>
        <v>0.15784923928077454</v>
      </c>
      <c r="BF44" s="66">
        <v>0.6</v>
      </c>
      <c r="BG44" s="1"/>
      <c r="BH44" s="1"/>
      <c r="BI44" s="9" t="s">
        <v>67</v>
      </c>
      <c r="BJ44" s="11">
        <f t="shared" ref="BJ44:BL45" si="102">BJ37</f>
        <v>0</v>
      </c>
      <c r="BK44" s="11">
        <f t="shared" si="102"/>
        <v>0</v>
      </c>
      <c r="BL44" s="10" t="str">
        <f t="shared" si="102"/>
        <v/>
      </c>
      <c r="BM44" s="66">
        <v>0.8</v>
      </c>
      <c r="BN44" s="7"/>
      <c r="BO44" s="7"/>
      <c r="BP44" s="8"/>
      <c r="BQ44" s="7"/>
      <c r="BR44" s="6"/>
    </row>
    <row r="45" spans="1:148" ht="15" x14ac:dyDescent="0.25">
      <c r="E45" s="9" t="str">
        <f t="shared" si="93"/>
        <v>Total</v>
      </c>
      <c r="F45" s="138">
        <f t="shared" si="93"/>
        <v>133</v>
      </c>
      <c r="G45" s="138">
        <f t="shared" si="93"/>
        <v>229</v>
      </c>
      <c r="H45" s="10">
        <f t="shared" si="93"/>
        <v>0.58078602620087338</v>
      </c>
      <c r="I45" s="66">
        <v>0.9</v>
      </c>
      <c r="J45" s="1"/>
      <c r="K45" s="9" t="str">
        <f>K38</f>
        <v>Total</v>
      </c>
      <c r="L45" s="138">
        <f t="shared" si="94"/>
        <v>73780</v>
      </c>
      <c r="M45" s="138">
        <f t="shared" si="94"/>
        <v>76897.8</v>
      </c>
      <c r="N45" s="10">
        <f t="shared" si="94"/>
        <v>0.95945527700402344</v>
      </c>
      <c r="O45" s="66">
        <v>0.9</v>
      </c>
      <c r="P45" s="12"/>
      <c r="Q45" s="9" t="str">
        <f>Q38</f>
        <v>Total</v>
      </c>
      <c r="R45" s="138">
        <f t="shared" si="95"/>
        <v>10801</v>
      </c>
      <c r="S45" s="138">
        <f t="shared" si="95"/>
        <v>36742</v>
      </c>
      <c r="T45" s="10">
        <f t="shared" si="95"/>
        <v>0.29396875510315168</v>
      </c>
      <c r="U45" s="66">
        <v>0.35</v>
      </c>
      <c r="V45" s="1"/>
      <c r="W45" s="9" t="str">
        <f>W38</f>
        <v>Total</v>
      </c>
      <c r="X45" s="138">
        <f t="shared" si="96"/>
        <v>617</v>
      </c>
      <c r="Y45" s="138">
        <f t="shared" si="96"/>
        <v>3737</v>
      </c>
      <c r="Z45" s="10">
        <f t="shared" si="96"/>
        <v>0.16510569975916511</v>
      </c>
      <c r="AA45" s="66">
        <v>0.11</v>
      </c>
      <c r="AB45"/>
      <c r="AC45" s="1"/>
      <c r="AD45" s="9" t="str">
        <f>AD38</f>
        <v>Total</v>
      </c>
      <c r="AE45" s="138">
        <f t="shared" si="97"/>
        <v>13833</v>
      </c>
      <c r="AF45" s="138">
        <f t="shared" si="97"/>
        <v>45659.981999999996</v>
      </c>
      <c r="AG45" s="10">
        <f t="shared" si="97"/>
        <v>0.30295675543630307</v>
      </c>
      <c r="AH45" s="66">
        <v>0.28000000000000003</v>
      </c>
      <c r="AI45" s="1"/>
      <c r="AJ45" s="9" t="str">
        <f>AJ38</f>
        <v>Total</v>
      </c>
      <c r="AK45" s="138">
        <f t="shared" si="98"/>
        <v>29060</v>
      </c>
      <c r="AL45" s="138">
        <f t="shared" si="98"/>
        <v>34633</v>
      </c>
      <c r="AM45" s="10">
        <f t="shared" si="98"/>
        <v>0.83908411053041898</v>
      </c>
      <c r="AN45" s="66">
        <v>0.9</v>
      </c>
      <c r="AO45" s="1"/>
      <c r="AP45" s="9" t="str">
        <f>AP38</f>
        <v>Total</v>
      </c>
      <c r="AQ45" s="138">
        <f t="shared" si="99"/>
        <v>37694</v>
      </c>
      <c r="AR45" s="138">
        <f t="shared" si="99"/>
        <v>103792.155</v>
      </c>
      <c r="AS45" s="10">
        <f t="shared" si="99"/>
        <v>0.3631681026374296</v>
      </c>
      <c r="AT45" s="66">
        <v>0.43</v>
      </c>
      <c r="AU45" s="1"/>
      <c r="AV45" s="9" t="str">
        <f>AV38</f>
        <v>Total</v>
      </c>
      <c r="AW45" s="138">
        <f t="shared" si="100"/>
        <v>732</v>
      </c>
      <c r="AX45" s="138">
        <f t="shared" si="100"/>
        <v>1221</v>
      </c>
      <c r="AY45" s="10">
        <f t="shared" si="100"/>
        <v>0.59950859950859947</v>
      </c>
      <c r="AZ45" s="66">
        <v>0.6</v>
      </c>
      <c r="BA45" s="1"/>
      <c r="BB45" s="9" t="str">
        <f>BB38</f>
        <v>Total</v>
      </c>
      <c r="BC45" s="138">
        <f t="shared" si="101"/>
        <v>9466</v>
      </c>
      <c r="BD45" s="138">
        <f t="shared" si="101"/>
        <v>59851</v>
      </c>
      <c r="BE45" s="10">
        <f t="shared" si="101"/>
        <v>0</v>
      </c>
      <c r="BF45" s="66">
        <v>0.6</v>
      </c>
      <c r="BG45" s="1"/>
      <c r="BH45" s="1"/>
      <c r="BI45" s="70" t="str">
        <f>BI38</f>
        <v>Total</v>
      </c>
      <c r="BJ45" s="11">
        <f t="shared" si="102"/>
        <v>0</v>
      </c>
      <c r="BK45" s="11">
        <f t="shared" si="102"/>
        <v>0</v>
      </c>
      <c r="BL45" s="10" t="str">
        <f t="shared" si="102"/>
        <v/>
      </c>
      <c r="BM45" s="66">
        <v>0.8</v>
      </c>
      <c r="BN45" s="7"/>
      <c r="BO45" s="7"/>
      <c r="BP45" s="8"/>
      <c r="BQ45" s="7"/>
      <c r="BR45" s="6"/>
    </row>
    <row r="46" spans="1:148" ht="15" x14ac:dyDescent="0.25">
      <c r="E46" s="67"/>
      <c r="H46" s="13"/>
      <c r="I46" s="6"/>
      <c r="J46" s="1"/>
      <c r="K46" s="67"/>
      <c r="M46" s="68"/>
      <c r="N46" s="13"/>
      <c r="O46" s="6"/>
      <c r="P46" s="12"/>
      <c r="Q46" s="67"/>
      <c r="T46" s="13"/>
      <c r="U46" s="6"/>
      <c r="V46" s="1"/>
      <c r="W46" s="67"/>
      <c r="Z46" s="13"/>
      <c r="AA46" s="6"/>
      <c r="AB46"/>
      <c r="AC46" s="1"/>
      <c r="AD46" s="67"/>
      <c r="AG46" s="13"/>
      <c r="AH46" s="6"/>
      <c r="AI46" s="1"/>
      <c r="AJ46" s="67"/>
      <c r="AM46" s="13"/>
      <c r="AN46" s="6"/>
      <c r="AO46" s="1"/>
      <c r="AP46" s="67"/>
      <c r="AR46" s="68"/>
      <c r="AS46" s="13"/>
      <c r="AT46" s="6"/>
      <c r="AU46" s="1"/>
      <c r="AV46" s="67"/>
      <c r="AY46" s="13"/>
      <c r="AZ46" s="6"/>
      <c r="BA46" s="1"/>
      <c r="BB46" s="1"/>
      <c r="BC46" s="1"/>
      <c r="BD46" s="1"/>
      <c r="BE46" s="1"/>
      <c r="BF46" s="1"/>
      <c r="BG46" s="1"/>
      <c r="BH46" s="1"/>
      <c r="BI46" s="67"/>
      <c r="BJ46" s="67"/>
      <c r="BK46" s="7"/>
      <c r="BM46" s="7"/>
      <c r="BN46" s="7"/>
      <c r="BO46" s="8"/>
      <c r="BP46" s="7"/>
      <c r="BQ46" s="6"/>
    </row>
    <row r="47" spans="1:148" ht="15" x14ac:dyDescent="0.25">
      <c r="AZ47"/>
      <c r="BA47" s="1"/>
      <c r="BB47" s="1"/>
      <c r="BC47" s="1"/>
      <c r="BD47" s="1"/>
      <c r="BE47" s="1"/>
      <c r="BF47" s="1"/>
      <c r="BG47" s="1"/>
      <c r="BH47" s="1"/>
      <c r="BI47"/>
      <c r="BJ47"/>
    </row>
  </sheetData>
  <mergeCells count="31">
    <mergeCell ref="CO2:ER2"/>
    <mergeCell ref="CO3:CT3"/>
    <mergeCell ref="CU3:CZ3"/>
    <mergeCell ref="DA3:DF3"/>
    <mergeCell ref="DG3:DM3"/>
    <mergeCell ref="DN3:DS3"/>
    <mergeCell ref="DT3:DY3"/>
    <mergeCell ref="DZ3:EE3"/>
    <mergeCell ref="EF3:EK3"/>
    <mergeCell ref="EL3:EQ3"/>
    <mergeCell ref="AB2:AB3"/>
    <mergeCell ref="E40:I40"/>
    <mergeCell ref="K40:O40"/>
    <mergeCell ref="Q40:U40"/>
    <mergeCell ref="W40:AA40"/>
    <mergeCell ref="R2:U2"/>
    <mergeCell ref="X2:AA2"/>
    <mergeCell ref="F2:I2"/>
    <mergeCell ref="L2:O2"/>
    <mergeCell ref="AE2:AH2"/>
    <mergeCell ref="AQ2:AT2"/>
    <mergeCell ref="AK2:AN2"/>
    <mergeCell ref="AW2:AZ2"/>
    <mergeCell ref="BJ2:BM2"/>
    <mergeCell ref="BC2:BF2"/>
    <mergeCell ref="AD40:AH40"/>
    <mergeCell ref="AJ40:AN40"/>
    <mergeCell ref="AP40:AT40"/>
    <mergeCell ref="AV40:AZ40"/>
    <mergeCell ref="BI40:BM40"/>
    <mergeCell ref="BB40:BF40"/>
  </mergeCells>
  <conditionalFormatting sqref="BQ4:BQ20">
    <cfRule type="containsText" dxfId="17" priority="7" operator="containsText" text="Tramo 3: Sin Asig. C. Variable">
      <formula>NOT(ISERROR(SEARCH("Tramo 3: Sin Asig. C. Variable",BQ4)))</formula>
    </cfRule>
    <cfRule type="containsText" dxfId="16" priority="8" operator="containsText" text="Tramo 2: 50% C. Variable">
      <formula>NOT(ISERROR(SEARCH("Tramo 2: 50% C. Variable",BQ4)))</formula>
    </cfRule>
    <cfRule type="containsText" dxfId="15" priority="9" operator="containsText" text="Tramo 1: 100% C. Variable">
      <formula>NOT(ISERROR(SEARCH("Tramo 1: 100% C. Variable",BQ4)))</formula>
    </cfRule>
  </conditionalFormatting>
  <conditionalFormatting sqref="BQ22:BQ28">
    <cfRule type="containsText" dxfId="14" priority="4" operator="containsText" text="Tramo 3: Sin Asig. C. Variable">
      <formula>NOT(ISERROR(SEARCH("Tramo 3: Sin Asig. C. Variable",BQ22)))</formula>
    </cfRule>
    <cfRule type="containsText" dxfId="13" priority="5" operator="containsText" text="Tramo 2: 50% C. Variable">
      <formula>NOT(ISERROR(SEARCH("Tramo 2: 50% C. Variable",BQ22)))</formula>
    </cfRule>
    <cfRule type="containsText" dxfId="12" priority="6" operator="containsText" text="Tramo 1: 100% C. Variable">
      <formula>NOT(ISERROR(SEARCH("Tramo 1: 100% C. Variable",BQ22)))</formula>
    </cfRule>
  </conditionalFormatting>
  <conditionalFormatting sqref="BQ30:BQ36">
    <cfRule type="containsText" dxfId="11" priority="1" operator="containsText" text="Tramo 3: Sin Asig. C. Variable">
      <formula>NOT(ISERROR(SEARCH("Tramo 3: Sin Asig. C. Variable",BQ30)))</formula>
    </cfRule>
    <cfRule type="containsText" dxfId="10" priority="2" operator="containsText" text="Tramo 2: 50% C. Variable">
      <formula>NOT(ISERROR(SEARCH("Tramo 2: 50% C. Variable",BQ30)))</formula>
    </cfRule>
    <cfRule type="containsText" dxfId="9" priority="3" operator="containsText" text="Tramo 1: 100% C. Variable">
      <formula>NOT(ISERROR(SEARCH("Tramo 1: 100% C. Variable",BQ30)))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B1B78-A8EB-4D85-B67A-9A5EDC63B7C3}">
  <dimension ref="A1:S37"/>
  <sheetViews>
    <sheetView topLeftCell="A7" workbookViewId="0">
      <selection activeCell="J4" sqref="J4"/>
    </sheetView>
  </sheetViews>
  <sheetFormatPr baseColWidth="10" defaultRowHeight="15" x14ac:dyDescent="0.25"/>
  <cols>
    <col min="3" max="3" width="0" hidden="1" customWidth="1"/>
    <col min="15" max="15" width="11.42578125" customWidth="1"/>
    <col min="16" max="16" width="11.28515625" customWidth="1"/>
  </cols>
  <sheetData>
    <row r="1" spans="1:19" ht="15.75" x14ac:dyDescent="0.25">
      <c r="A1" s="139" t="s">
        <v>266</v>
      </c>
      <c r="B1" s="79">
        <v>12.5</v>
      </c>
      <c r="C1" s="56"/>
      <c r="D1" s="74" t="s">
        <v>105</v>
      </c>
      <c r="E1" s="212" t="s">
        <v>275</v>
      </c>
      <c r="F1" s="213"/>
      <c r="G1" s="213"/>
      <c r="H1" s="214"/>
    </row>
    <row r="2" spans="1:19" ht="146.25" x14ac:dyDescent="0.25">
      <c r="A2" s="80" t="s">
        <v>77</v>
      </c>
      <c r="B2" s="80" t="s">
        <v>76</v>
      </c>
      <c r="C2" s="54"/>
      <c r="D2" s="83" t="s">
        <v>201</v>
      </c>
      <c r="E2" s="73" t="s">
        <v>268</v>
      </c>
      <c r="F2" s="135" t="s">
        <v>269</v>
      </c>
      <c r="G2" s="51" t="s">
        <v>55</v>
      </c>
      <c r="H2" s="50" t="s">
        <v>75</v>
      </c>
      <c r="L2" s="193" t="s">
        <v>307</v>
      </c>
      <c r="M2" s="151"/>
      <c r="N2" s="193" t="s">
        <v>308</v>
      </c>
      <c r="P2" s="194" t="s">
        <v>309</v>
      </c>
      <c r="S2" s="194" t="s">
        <v>309</v>
      </c>
    </row>
    <row r="3" spans="1:19" x14ac:dyDescent="0.25">
      <c r="A3" s="46" t="s">
        <v>32</v>
      </c>
      <c r="B3" s="46" t="s">
        <v>69</v>
      </c>
      <c r="C3" s="45"/>
      <c r="D3" s="21">
        <v>0.9</v>
      </c>
      <c r="E3" s="177"/>
      <c r="F3" s="187"/>
      <c r="G3" s="142">
        <f t="shared" ref="G3:G19" si="0">IF(D3="aut",100%,IF(F3=0,100%,E3/F3))</f>
        <v>1</v>
      </c>
      <c r="H3" s="143">
        <f t="shared" ref="H3:H19" si="1">IF(D3="aut",$C$2,IF(G3&gt;=D3,$C$2,((G3/D3)*$C$2)))</f>
        <v>0</v>
      </c>
      <c r="L3" s="175">
        <f>SUM('[2]117302'!$J$22:$M$22)+SUM('[3]117302'!$J$22:$M$22)+SUM('[4]117302'!$J$22:$M$22)+SUM('[1]117302'!$J$23:$M$23)+SUM('[2]117702'!$J$22:$M$22)+SUM('[3]117702'!$J$22:$M$22)+SUM('[4]117702'!$J$22:$M$22)+SUM('[1]117702'!$J$23:$M$23)+SUM('[2]117799'!$J$22:$M$22)+SUM('[3]117799'!$J$22:$M$22)+SUM('[4]117799'!$J$22:$M$22)+SUM('[1]117799'!$J$23:$M$23)+SUM('[2]117405'!$J$22:$M$22)+SUM('[3]117405'!$J$22:$M$22)+SUM('[4]117405'!$J$22:$M$22)+SUM('[1]117405'!$J$23:$M$23)</f>
        <v>12</v>
      </c>
      <c r="N3" s="175">
        <f>SUM('[2]117302'!$J$39:$M$39)+SUM('[3]117302'!$J$39:$M$39)+SUM('[4]117302'!$J$39:$M$39)+SUM('[1]117302'!$J$40:$M$40)+SUM('[2]117702'!$J$39:$M$39)+SUM('[3]117702'!$J$39:$M$39)+SUM('[4]117702'!$J$39:$M$39)+SUM('[1]117702'!$J$40:$M$40)+SUM('[2]117799'!$J$39:$M$39)+SUM('[3]117799'!$J$39:$M$39)+SUM('[4]117799'!$J$39:$M$39)+SUM('[1]117799'!$J$40:$M$40)+SUM('[2]117405'!$J$39:$M$39)+SUM('[3]117405'!$J$39:$M$39)+SUM('[4]117405'!$J$39:$M$39)+SUM('[1]117405'!$J$40:$M$40)</f>
        <v>0</v>
      </c>
      <c r="P3" s="175">
        <f>+L3-N3</f>
        <v>12</v>
      </c>
      <c r="S3" s="191">
        <f>SUM('[2]117302'!$J$22:$M$22)+SUM('[3]117302'!$J$22:$M$22)+SUM('[4]117302'!$J$22:$M$22)+SUM('[1]117302'!$J$23:$M$23)+SUM('[2]117702'!$J$22:$M$22)+SUM('[3]117702'!$J$22:$M$22)+SUM('[4]117702'!$J$22:$M$22)+SUM('[1]117702'!$J$23:$M$23)+SUM('[2]117799'!$J$22:$M$22)+SUM('[3]117799'!$J$22:$M$22)+SUM('[4]117799'!$J$22:$M$22)+SUM('[1]117799'!$J$23:$M$23)+SUM('[2]117405'!$J$22:$M$22)+SUM('[3]117405'!$J$22:$M$22)+SUM('[4]117405'!$J$22:$M$22)+SUM('[1]117405'!$J$23:$M$23)-(SUM('[2]117302'!$J$39:$M$39)+SUM('[3]117302'!$J$39:$M$39)+SUM('[4]117302'!$J$39:$M$39)+SUM('[1]117302'!$J$40:$M$40)+SUM('[2]117702'!$J$39:$M$39)+SUM('[3]117702'!$J$39:$M$39)+SUM('[4]117702'!$J$39:$M$39)+SUM('[1]117702'!$J$40:$M$40)+SUM('[2]117799'!$J$39:$M$39)+SUM('[3]117799'!$J$39:$M$39)+SUM('[4]117799'!$J$39:$M$39)+SUM('[1]117799'!$J$40:$M$40)+SUM('[2]117405'!$J$39:$M$39)+SUM('[3]117405'!$J$39:$M$39)+SUM('[4]117405'!$J$39:$M$39)+SUM('[1]117405'!$J$40:$M$40))</f>
        <v>12</v>
      </c>
    </row>
    <row r="4" spans="1:19" x14ac:dyDescent="0.25">
      <c r="A4" s="46" t="s">
        <v>6</v>
      </c>
      <c r="B4" s="46" t="s">
        <v>69</v>
      </c>
      <c r="C4" s="45"/>
      <c r="D4" s="21">
        <v>0.9</v>
      </c>
      <c r="E4" s="177"/>
      <c r="F4" s="187"/>
      <c r="G4" s="142">
        <f t="shared" si="0"/>
        <v>1</v>
      </c>
      <c r="H4" s="143">
        <f t="shared" si="1"/>
        <v>0</v>
      </c>
      <c r="L4" s="175">
        <f>(SUM('[2]117303'!$J$22:$M$22)+SUM('[3]117303'!$J$22:$M$22)+SUM('[4]117303'!$J$22:$M$22)+SUM('[1]117303'!$J$23:$M$23)+SUM('[2]117410'!$J$22:$M$22)+SUM('[3]117410'!$J$22:$M$22)+SUM('[4]117410'!$J$22:$M$22)+SUM('[1]117410'!$J$23:$M$23))</f>
        <v>8</v>
      </c>
      <c r="N4" s="175">
        <f>(SUM('[2]117303'!$J$39:$M$39)+SUM('[3]117303'!$J$39:$M$39)+SUM('[4]117303'!$J$39:$M$39)+SUM('[1]117303'!$J$40:$M$40)+SUM('[2]117410'!$J$39:$M$39)+SUM('[3]117410'!$J$39:$M$39)+SUM('[4]117410'!$J$39:$M$39)+SUM('[1]117410'!$J$40:$M$40))</f>
        <v>1</v>
      </c>
      <c r="P4" s="175">
        <f t="shared" ref="P4:P37" si="2">+L4-N4</f>
        <v>7</v>
      </c>
      <c r="S4" s="191">
        <f>(SUM('[2]117303'!$J$22:$M$22)+SUM('[3]117303'!$J$22:$M$22)+SUM('[4]117303'!$J$22:$M$22)+SUM('[1]117303'!$J$23:$M$23)+SUM('[2]117410'!$J$22:$M$22)+SUM('[3]117410'!$J$22:$M$22)+SUM('[4]117410'!$J$22:$M$22)+SUM('[1]117410'!$J$23:$M$23))-((SUM('[2]117303'!$J$39:$M$39)+SUM('[3]117303'!$J$39:$M$39)+SUM('[4]117303'!$J$39:$M$39)+SUM('[1]117303'!$J$40:$M$40)+SUM('[2]117410'!$J$39:$M$39)+SUM('[3]117410'!$J$39:$M$39)+SUM('[4]117410'!$J$39:$M$39)+SUM('[1]117410'!$J$40:$M$40)))</f>
        <v>7</v>
      </c>
    </row>
    <row r="5" spans="1:19" x14ac:dyDescent="0.25">
      <c r="A5" s="46" t="s">
        <v>7</v>
      </c>
      <c r="B5" s="46" t="s">
        <v>69</v>
      </c>
      <c r="C5" s="45"/>
      <c r="D5" s="21">
        <v>0.9</v>
      </c>
      <c r="E5" s="177"/>
      <c r="F5" s="188"/>
      <c r="G5" s="142">
        <f t="shared" si="0"/>
        <v>1</v>
      </c>
      <c r="H5" s="143">
        <f t="shared" si="1"/>
        <v>0</v>
      </c>
      <c r="L5" s="157">
        <f>SUM('[2]117304'!$J$22:$M$22)+SUM('[3]117304'!$J$22:$M$22)+SUM('[4]117304'!$J$22:$M$22)+SUM('[1]117304'!$J$23:$M$23)+SUM('[2]200261'!$J$22:$M$22)+SUM('[3]200261'!$J$22:$M$22)+SUM('[4]200261'!$J$22:$M$22)+SUM('[1]200261'!$J$23:$M$23)</f>
        <v>9</v>
      </c>
      <c r="N5" s="157">
        <f>SUM('[2]117304'!$J$39:$M$39)+SUM('[3]117304'!$J$39:$M$39)+SUM('[4]117304'!$J$39:$M$39)+SUM('[1]117304'!$J$40:$M$40)+SUM('[2]200261'!$J$39:$M$39)+SUM('[3]200261'!$J$39:$M$39)+SUM('[4]200261'!$J$39:$M$39)+SUM('[1]200261'!$J$40:$M$40)</f>
        <v>1</v>
      </c>
      <c r="P5" s="157">
        <f t="shared" si="2"/>
        <v>8</v>
      </c>
      <c r="S5" s="192">
        <f>SUM('[2]117304'!$J$22:$M$22)+SUM('[3]117304'!$J$22:$M$22)+SUM('[4]117304'!$J$22:$M$22)+SUM('[1]117304'!$J$23:$M$23)+SUM('[2]200261'!$J$22:$M$22)+SUM('[3]200261'!$J$22:$M$22)+SUM('[4]200261'!$J$22:$M$22)+SUM('[1]200261'!$J$23:$M$23)-(SUM('[2]117304'!$J$39:$M$39)+SUM('[3]117304'!$J$39:$M$39)+SUM('[4]117304'!$J$39:$M$39)+SUM('[1]117304'!$J$40:$M$40)+SUM('[2]200261'!$J$39:$M$39)+SUM('[3]200261'!$J$39:$M$39)+SUM('[4]200261'!$J$39:$M$39)+SUM('[1]200261'!$J$40:$M$40))</f>
        <v>8</v>
      </c>
    </row>
    <row r="6" spans="1:19" x14ac:dyDescent="0.25">
      <c r="A6" s="46" t="s">
        <v>40</v>
      </c>
      <c r="B6" s="46" t="s">
        <v>69</v>
      </c>
      <c r="C6" s="45"/>
      <c r="D6" s="21">
        <v>0.9</v>
      </c>
      <c r="E6" s="177"/>
      <c r="F6" s="188"/>
      <c r="G6" s="142">
        <f>IF(D6="aut",100%,IF(F6=0,100%,E6/F6))</f>
        <v>1</v>
      </c>
      <c r="H6" s="143">
        <f t="shared" si="1"/>
        <v>0</v>
      </c>
      <c r="L6" s="157">
        <f>SUM('[2]117322'!$J$22:$M$22)+SUM('[3]117322'!$J$22:$M$22)+SUM('[4]117322'!$J$22:$M$22)+SUM('[1]117322'!$J$23:$M$23)</f>
        <v>3</v>
      </c>
      <c r="N6" s="157">
        <f>SUM('[2]117322'!$J$39:$M$39)+SUM('[3]117322'!$J$39:$M$39)+SUM('[4]117322'!$J$39:$M$39)+SUM('[1]117322'!$J$40:$M$40)</f>
        <v>0</v>
      </c>
      <c r="P6" s="157">
        <f t="shared" si="2"/>
        <v>3</v>
      </c>
      <c r="S6" s="192">
        <f>SUM('[2]117322'!$J$22:$M$22)+SUM('[3]117322'!$J$22:$M$22)+SUM('[4]117322'!$J$22:$M$22)+SUM('[1]117322'!$J$23:$M$23)-(SUM('[2]117322'!$J$39:$M$39)+SUM('[3]117322'!$J$39:$M$39)+SUM('[4]117322'!$J$39:$M$39)+SUM('[1]117322'!$J$40:$M$40))</f>
        <v>3</v>
      </c>
    </row>
    <row r="7" spans="1:19" x14ac:dyDescent="0.25">
      <c r="A7" s="46" t="s">
        <v>8</v>
      </c>
      <c r="B7" s="46" t="s">
        <v>69</v>
      </c>
      <c r="C7" s="45"/>
      <c r="D7" s="21">
        <v>0.9</v>
      </c>
      <c r="E7" s="177"/>
      <c r="F7" s="188"/>
      <c r="G7" s="144">
        <f t="shared" si="0"/>
        <v>1</v>
      </c>
      <c r="H7" s="143">
        <f t="shared" si="1"/>
        <v>0</v>
      </c>
      <c r="L7" s="157">
        <f>SUM('[2]117324'!$J$22:$M$22)+SUM('[3]117324'!$J$22:$M$22)+SUM('[4]117324'!$J$22:$M$22)+SUM('[1]117324'!$J$23:$M$23)</f>
        <v>16</v>
      </c>
      <c r="N7" s="157">
        <f>SUM('[2]117324'!$J$39:$M$39)+SUM('[3]117324'!$J$39:$M$39)+SUM('[4]117324'!$J$39:$M$39)+SUM('[1]117324'!$J$40:$M$40)</f>
        <v>0</v>
      </c>
      <c r="P7" s="157">
        <f t="shared" si="2"/>
        <v>16</v>
      </c>
      <c r="S7" s="192">
        <f>SUM('[2]117324'!$J$22:$M$22)+SUM('[3]117324'!$J$22:$M$22)+SUM('[4]117324'!$J$22:$M$22)+SUM('[1]117324'!$J$23:$M$23)-(SUM('[2]117324'!$J$39:$M$39)+SUM('[3]117324'!$J$39:$M$39)+SUM('[4]117324'!$J$39:$M$39)+SUM('[1]117324'!$J$40:$M$40))</f>
        <v>16</v>
      </c>
    </row>
    <row r="8" spans="1:19" x14ac:dyDescent="0.25">
      <c r="A8" s="46" t="s">
        <v>25</v>
      </c>
      <c r="B8" s="46" t="s">
        <v>69</v>
      </c>
      <c r="C8" s="45"/>
      <c r="D8" s="21">
        <v>0.9</v>
      </c>
      <c r="E8" s="177"/>
      <c r="F8" s="188"/>
      <c r="G8" s="142">
        <f t="shared" si="0"/>
        <v>1</v>
      </c>
      <c r="H8" s="143">
        <f t="shared" si="1"/>
        <v>0</v>
      </c>
      <c r="L8" s="157">
        <f>SUM('[2]117330'!$J$22:$M$22)+SUM('[3]117330'!$J$22:$M$22)+SUM('[4]117330'!$J$22:$M$22)+SUM('[1]117330'!$J$23:$M$23)</f>
        <v>10</v>
      </c>
      <c r="N8" s="157">
        <f>SUM('[2]117330'!$J$39:$M$39)+SUM('[3]117330'!$J$39:$M$39)+SUM('[4]117330'!$J$39:$M$39)+SUM('[1]117330'!$J$40:$M$40)</f>
        <v>0</v>
      </c>
      <c r="P8" s="157">
        <f t="shared" si="2"/>
        <v>10</v>
      </c>
      <c r="S8" s="192">
        <f>SUM('[2]117330'!$J$22:$M$22)+SUM('[3]117330'!$J$22:$M$22)+SUM('[4]117330'!$J$22:$M$22)+SUM('[1]117330'!$J$23:$M$23)-(SUM('[2]117330'!$J$39:$M$39)+SUM('[3]117330'!$J$39:$M$39)+SUM('[4]117330'!$J$39:$M$39)+SUM('[1]117330'!$J$40:$M$40))</f>
        <v>10</v>
      </c>
    </row>
    <row r="9" spans="1:19" x14ac:dyDescent="0.25">
      <c r="A9" s="46" t="s">
        <v>50</v>
      </c>
      <c r="B9" s="46" t="s">
        <v>69</v>
      </c>
      <c r="C9" s="45"/>
      <c r="D9" s="21">
        <v>0.9</v>
      </c>
      <c r="E9" s="177"/>
      <c r="F9" s="188"/>
      <c r="G9" s="144">
        <f t="shared" si="0"/>
        <v>1</v>
      </c>
      <c r="H9" s="143">
        <f t="shared" si="1"/>
        <v>0</v>
      </c>
      <c r="L9" s="157">
        <f>SUM('[2]117328'!$J$22:$M$22)+SUM('[3]117328'!$J$22:$M$22)+SUM('[4]117328'!$J$22:$M$22)+SUM('[1]117328'!$J$23:$M$23)+SUM('[2]117413'!$J$22:$M$22)+SUM('[3]117413'!$J$22:$M$22)+SUM('[4]117413'!$J$22:$M$22)+SUM('[1]117413'!$J$23:$M$23)+SUM('[2]117414'!$J$22:$M$22)+SUM('[3]117414'!$J$22:$M$22)+SUM('[4]117414'!$J$22:$M$22)+SUM('[1]117414'!$J$23:$M$23)</f>
        <v>6</v>
      </c>
      <c r="N9" s="157">
        <f>SUM('[2]117328'!$J$39:$M$39)+SUM('[3]117328'!$J$39:$M$39)+SUM('[4]117328'!$J$39:$M$39)+SUM('[1]117328'!$J$40:$M$40)+SUM('[2]117413'!$J$39:$M$39)+SUM('[3]117413'!$J$39:$M$39)+SUM('[4]117413'!$J$39:$M$39)+SUM('[1]117413'!$J$40:$M$40)+SUM('[2]117414'!$J$39:$M$39)+SUM('[3]117414'!$J$39:$M$39)+SUM('[4]117414'!$J$39:$M$39)+SUM('[1]117414'!$J$40:$M$40)</f>
        <v>0</v>
      </c>
      <c r="P9" s="157">
        <f t="shared" si="2"/>
        <v>6</v>
      </c>
      <c r="S9" s="192">
        <f>SUM('[2]117328'!$J$22:$M$22)+SUM('[3]117328'!$J$22:$M$22)+SUM('[4]117328'!$J$22:$M$22)+SUM('[1]117328'!$J$23:$M$23)+SUM('[2]117413'!$J$22:$M$22)+SUM('[3]117413'!$J$22:$M$22)+SUM('[4]117413'!$J$22:$M$22)+SUM('[1]117413'!$J$23:$M$23)+SUM('[2]117414'!$J$22:$M$22)+SUM('[3]117414'!$J$22:$M$22)+SUM('[4]117414'!$J$22:$M$22)+SUM('[1]117414'!$J$23:$M$23)-(SUM('[2]117328'!$J$39:$M$39)+SUM('[3]117328'!$J$39:$M$39)+SUM('[4]117328'!$J$39:$M$39)+SUM('[1]117328'!$J$40:$M$40)+SUM('[2]117413'!$J$39:$M$39)+SUM('[3]117413'!$J$39:$M$39)+SUM('[4]117413'!$J$39:$M$39)+SUM('[1]117413'!$J$40:$M$40)+SUM('[2]117414'!$J$39:$M$39)+SUM('[3]117414'!$J$39:$M$39)+SUM('[4]117414'!$J$39:$M$39)+SUM('[1]117414'!$J$40:$M$40))</f>
        <v>6</v>
      </c>
    </row>
    <row r="10" spans="1:19" x14ac:dyDescent="0.25">
      <c r="A10" s="46" t="s">
        <v>51</v>
      </c>
      <c r="B10" s="46" t="s">
        <v>69</v>
      </c>
      <c r="C10" s="45"/>
      <c r="D10" s="21">
        <v>0.9</v>
      </c>
      <c r="E10" s="177"/>
      <c r="F10" s="188"/>
      <c r="G10" s="144">
        <f t="shared" si="0"/>
        <v>1</v>
      </c>
      <c r="H10" s="143">
        <f t="shared" si="1"/>
        <v>0</v>
      </c>
      <c r="L10" s="157">
        <f>(SUM('[2]117331'!$J$22:$M$22)+SUM('[3]117331'!$J$22:$M$22)+SUM('[4]117331'!$J$22:$M$22)+SUM('[1]117331'!$J$23:$M$23))</f>
        <v>7</v>
      </c>
      <c r="N10" s="157">
        <f>(SUM('[2]117331'!$J$39:$M$39)+SUM('[3]117331'!$J$39:$M$39)+SUM('[4]117331'!$J$39:$M$39)+SUM('[1]117331'!$J$40:$M$40))</f>
        <v>0</v>
      </c>
      <c r="P10" s="157">
        <f t="shared" si="2"/>
        <v>7</v>
      </c>
      <c r="S10" s="188">
        <f>(SUM('[2]117331'!$J$22:$M$22)+SUM('[3]117331'!$J$22:$M$22)+SUM('[4]117331'!$J$22:$M$22)+SUM('[1]117331'!$J$23:$M$23))-(SUM('[2]117331'!$J$39:$M$39)+SUM('[3]117331'!$J$39:$M$39)+SUM('[4]117331'!$J$39:$M$39)+SUM('[1]117331'!$J$40:$M$40))</f>
        <v>7</v>
      </c>
    </row>
    <row r="11" spans="1:19" x14ac:dyDescent="0.25">
      <c r="A11" s="46" t="s">
        <v>52</v>
      </c>
      <c r="B11" s="46" t="s">
        <v>69</v>
      </c>
      <c r="C11" s="45"/>
      <c r="D11" s="21">
        <v>0.9</v>
      </c>
      <c r="E11" s="177"/>
      <c r="F11" s="188"/>
      <c r="G11" s="144">
        <f t="shared" si="0"/>
        <v>1</v>
      </c>
      <c r="H11" s="143">
        <f t="shared" si="1"/>
        <v>0</v>
      </c>
      <c r="L11" s="157">
        <f>SUM('[2]117435'!$J$22:$M$22)+SUM('[3]117435'!$J$22:$M$22)+SUM('[4]117435'!$J$22:$M$22)+SUM('[1]117435'!$J$23:$M$23)+SUM('[2]117436'!$J$22:$M$22)+SUM('[3]117436'!$J$22:$M$22)+SUM('[4]117436'!$J$22:$M$22)+SUM('[1]117436'!$J$23:$M$23)+SUM('[2]117437'!$J$22:$M$22)+SUM('[3]117437'!$J$22:$M$22)+SUM('[4]117437'!$J$22:$M$22)+SUM('[1]117437'!$J$23:$M$23)+SUM('[2]117438'!$J$22:$M$22)+SUM('[3]117438'!$J$22:$M$22)+SUM('[4]117438'!$J$22:$M$22)+SUM('[1]117438'!$J$23:$M$23)+SUM('[2]117457'!$J$22:$M$22)+SUM('[3]117457'!$J$22:$M$22)+SUM('[4]117457'!$J$22:$M$22)+SUM('[1]117457'!$J$23:$M$23)+SUM('[2]117473'!$J$22:$M$22)+SUM('[3]117473'!$J$22:$M$22)+SUM('[4]117473'!$J$22:$M$22)+SUM('[1]117473'!$J$23:$M$23)+SUM('[2]117474'!$J$22:$M$22)+SUM('[3]117474'!$J$22:$M$22)+SUM('[4]117474'!$J$22:$M$22)+SUM('[1]117474'!$J$23:$M$23)+SUM('[2]117475'!$J$22:$M$22)+SUM('[3]117475'!$J$22:$M$22)+SUM('[4]117475'!$J$22:$M$22)+SUM('[1]117475'!$J$23:$M$23) + SUM('[2]117476'!$J$22:$M$22)+SUM('[3]117476'!$J$22:$M$22)+SUM('[4]117476'!$J$22:$M$22)+SUM('[1]117476'!$J$23:$M$23) + SUM('[2]117477'!$J$22:$M$22)+SUM('[3]117477'!$J$22:$M$22)+SUM('[4]117477'!$J$22:$M$22)+SUM('[1]117477'!$J$23:$M$23)</f>
        <v>0</v>
      </c>
      <c r="N11" s="157">
        <f>SUM('[2]117435'!$J$39:$M$39)+SUM('[3]117435'!$J$39:$M$39)+SUM('[4]117435'!$J$39:$M$39)+SUM('[1]117435'!$J$40:$M$40)+SUM('[2]117436'!$J$39:$M$39)+SUM('[3]117436'!$J$39:$M$39)+SUM('[4]117436'!$J$39:$M$39)+SUM('[1]117436'!$J$40:$M$40)+SUM('[2]117437'!$J$39:$M$39)+SUM('[3]117437'!$J$39:$M$39)+SUM('[4]117437'!$J$39:$M$39)+SUM('[1]117437'!$J$40:$M$40)+SUM('[2]117438'!$J$39:$M$39)+SUM('[3]117438'!$J$39:$M$39)+SUM('[4]117438'!$J$39:$M$39)+SUM('[1]117438'!$J$40:$M$40)+SUM('[2]117457'!$J$39:$M$39)+SUM('[3]117457'!$J$39:$M$39)+SUM('[4]117457'!$J$39:$M$39)+SUM('[1]117457'!$J$40:$M$40)+SUM('[2]117473'!$J$39:$M$39)+SUM('[3]117473'!$J$39:$M$39)+SUM('[4]117473'!$J$39:$M$39)+SUM('[1]117473'!$J$40:$M$40)+SUM('[2]117474'!$J$39:$M$39)+SUM('[3]117474'!$J$39:$M$39)+SUM('[4]117474'!$J$39:$M$39)+SUM('[1]117474'!$J$40:$M$40)+SUM('[2]117475'!$J$39:$M$39)+SUM('[3]117475'!$J$39:$M$39)+SUM('[4]117475'!$J$39:$M$39)+SUM('[1]117475'!$J$40:$M$40) + SUM('[2]117476'!$J$39:$M$39)+SUM('[3]117476'!$J$39:$M$39)+SUM('[4]117476'!$J$39:$M$39)+SUM('[1]117476'!$J$40:$M$40) + SUM('[2]117477'!$J$39:$M$39)+SUM('[3]117477'!$J$39:$M$39)+SUM('[4]117477'!$J$39:$M$39)+SUM('[1]117477'!$J$40:$M$40)</f>
        <v>0</v>
      </c>
      <c r="P11" s="157">
        <f t="shared" si="2"/>
        <v>0</v>
      </c>
      <c r="S11" s="157">
        <f>SUM('[2]117435'!$J$22:$M$22)+SUM('[3]117435'!$J$22:$M$22)+SUM('[4]117435'!$J$22:$M$22)+SUM('[1]117435'!$J$23:$M$23)+SUM('[2]117436'!$J$22:$M$22)+SUM('[3]117436'!$J$22:$M$22)+SUM('[4]117436'!$J$22:$M$22)+SUM('[1]117436'!$J$23:$M$23)+SUM('[2]117437'!$J$22:$M$22)+SUM('[3]117437'!$J$22:$M$22)+SUM('[4]117437'!$J$22:$M$22)+SUM('[1]117437'!$J$23:$M$23)+SUM('[2]117438'!$J$22:$M$22)+SUM('[3]117438'!$J$22:$M$22)+SUM('[4]117438'!$J$22:$M$22)+SUM('[1]117438'!$J$23:$M$23)+SUM('[2]117457'!$J$22:$M$22)+SUM('[3]117457'!$J$22:$M$22)+SUM('[4]117457'!$J$22:$M$22)+SUM('[1]117457'!$J$23:$M$23)+SUM('[2]117473'!$J$22:$M$22)+SUM('[3]117473'!$J$22:$M$22)+SUM('[4]117473'!$J$22:$M$22)+SUM('[1]117473'!$J$23:$M$23)+SUM('[2]117474'!$J$22:$M$22)+SUM('[3]117474'!$J$22:$M$22)+SUM('[4]117474'!$J$22:$M$22)+SUM('[1]117474'!$J$23:$M$23)+SUM('[2]117475'!$J$22:$M$22)+SUM('[3]117475'!$J$22:$M$22)+SUM('[4]117475'!$J$22:$M$22)+SUM('[1]117475'!$J$23:$M$23) + SUM('[2]117476'!$J$22:$M$22)+SUM('[3]117476'!$J$22:$M$22)+SUM('[4]117476'!$J$22:$M$22)+SUM('[1]117476'!$J$23:$M$23) + SUM('[2]117477'!$J$22:$M$22)+SUM('[3]117477'!$J$22:$M$22)+SUM('[4]117477'!$J$22:$M$22)+SUM('[1]117477'!$J$23:$M$23)-(SUM('[2]117435'!$J$39:$M$39)+SUM('[3]117435'!$J$39:$M$39)+SUM('[4]117435'!$J$39:$M$39)+SUM('[1]117435'!$J$40:$M$40)+SUM('[2]117436'!$J$39:$M$39)+SUM('[3]117436'!$J$39:$M$39)+SUM('[4]117436'!$J$39:$M$39)+SUM('[1]117436'!$J$40:$M$40)+SUM('[2]117437'!$J$39:$M$39)+SUM('[3]117437'!$J$39:$M$39)+SUM('[4]117437'!$J$39:$M$39)+SUM('[1]117437'!$J$40:$M$40)+SUM('[2]117438'!$J$39:$M$39))</f>
        <v>0</v>
      </c>
    </row>
    <row r="12" spans="1:19" x14ac:dyDescent="0.25">
      <c r="A12" s="46" t="s">
        <v>34</v>
      </c>
      <c r="B12" s="46" t="s">
        <v>69</v>
      </c>
      <c r="C12" s="45"/>
      <c r="D12" s="21">
        <v>0.9</v>
      </c>
      <c r="E12" s="177"/>
      <c r="F12" s="188"/>
      <c r="G12" s="144">
        <f t="shared" si="0"/>
        <v>1</v>
      </c>
      <c r="H12" s="143">
        <f t="shared" si="1"/>
        <v>0</v>
      </c>
      <c r="L12" s="157">
        <f>SUM('[2]117310'!$J$22:$M$22)+SUM('[3]117310'!$J$22:$M$22)+SUM('[4]117310'!$J$22:$M$22)+SUM('[1]117310'!$J$23:$M$23) + SUM('[2]117430'!$J$22:$M$22)+SUM('[3]117430'!$J$22:$M$22)+SUM('[4]117430'!$J$22:$M$22)+SUM('[1]117430'!$J$23:$M$23) + SUM('[2]117431'!$J$22:$M$22)+SUM('[3]117431'!$J$22:$M$22)+SUM('[4]117431'!$J$22:$M$22)+SUM('[1]117431'!$J$23:$M$23)</f>
        <v>7</v>
      </c>
      <c r="N12" s="157">
        <f>SUM('[2]117310'!$J$39:$M$39)+SUM('[3]117310'!$J$39:$M$39)+SUM('[4]117310'!$J$39:$M$39)+SUM('[1]117310'!$J$40:$M$40) + SUM('[2]117430'!$J$39:$M$39)+SUM('[3]117430'!$J$39:$M$39)+SUM('[4]117430'!$J$39:$M$39)+SUM('[1]117430'!$J$40:$M$40) + SUM('[2]117431'!$J$39:$M$39)+SUM('[3]117431'!$J$39:$M$39)+SUM('[4]117431'!$J$39:$M$39)+SUM('[1]117431'!$J$40:$M$40)</f>
        <v>1</v>
      </c>
      <c r="P12" s="157">
        <f t="shared" si="2"/>
        <v>6</v>
      </c>
      <c r="S12" s="188">
        <f>SUM('[2]117310'!$J$22:$M$22)+SUM('[3]117310'!$J$22:$M$22)+SUM('[4]117310'!$J$22:$M$22)+SUM('[1]117310'!$J$23:$M$23) + SUM('[2]117430'!$J$22:$M$22)+SUM('[3]117430'!$J$22:$M$22)+SUM('[4]117430'!$J$22:$M$22)+SUM('[1]117430'!$J$23:$M$23) + SUM('[2]117431'!$J$22:$M$22)+SUM('[3]117431'!$J$22:$M$22)+SUM('[4]117431'!$J$22:$M$22)+SUM('[1]117431'!$J$23:$M$23)-(SUM('[2]117310'!$J$39:$M$39)+SUM('[3]117310'!$J$39:$M$39)+SUM('[4]117310'!$J$39:$M$39)+SUM('[1]117310'!$J$40:$M$40) + SUM('[2]117430'!$J$39:$M$39)+SUM('[3]117430'!$J$39:$M$39)+SUM('[4]117430'!$J$39:$M$39)+SUM('[1]117430'!$J$40:$M$40) + SUM('[2]117431'!$J$39:$M$39)+SUM('[3]117431'!$J$39:$M$39)+SUM('[4]117431'!$J$39:$M$39)+SUM('[1]117431'!$J$40:$M$40))</f>
        <v>6</v>
      </c>
    </row>
    <row r="13" spans="1:19" x14ac:dyDescent="0.25">
      <c r="A13" s="46" t="s">
        <v>42</v>
      </c>
      <c r="B13" s="46" t="s">
        <v>69</v>
      </c>
      <c r="C13" s="45"/>
      <c r="D13" s="21">
        <v>0.9</v>
      </c>
      <c r="E13" s="177"/>
      <c r="F13" s="188"/>
      <c r="G13" s="144">
        <f t="shared" si="0"/>
        <v>1</v>
      </c>
      <c r="H13" s="143">
        <f t="shared" si="1"/>
        <v>0</v>
      </c>
      <c r="L13" s="157">
        <f>SUM('[2]117317'!$J$22:$M$22)+SUM('[3]117317'!$J$22:$M$22)+SUM('[4]117317'!$J$22:$M$22)+SUM('[1]117317'!$J$23:$M$23) + SUM('[2]117409'!$J$22:$M$22)+SUM('[3]117409'!$J$22:$M$22)+SUM('[4]117409'!$J$22:$M$22)+SUM('[1]117409'!$J$23:$M$23) + SUM('[2]117469'!$J$22:$M$22)+SUM('[3]117469'!$J$22:$M$22)+SUM('[4]117469'!$J$22:$M$22)+SUM('[1]117469'!$J$23:$M$23)</f>
        <v>10</v>
      </c>
      <c r="N13" s="157">
        <f>SUM('[2]117317'!$J$39:$M$39)+SUM('[3]117317'!$J$39:$M$39)+SUM('[4]117317'!$J$39:$M$39)+SUM('[1]117317'!$J$40:$M$40) + SUM('[2]117409'!$J$39:$M$39)+SUM('[3]117409'!$J$39:$M$39)+SUM('[4]117409'!$J$39:$M$39)+SUM('[1]117409'!$J$40:$M$40) + SUM('[2]117469'!$J$39:$M$39)+SUM('[3]117469'!$J$39:$M$39)+SUM('[4]117469'!$J$39:$M$39)+SUM('[1]117469'!$J$40:$M$40)</f>
        <v>0</v>
      </c>
      <c r="P13" s="157">
        <f t="shared" si="2"/>
        <v>10</v>
      </c>
      <c r="S13" s="188">
        <f>SUM('[2]117317'!$J$22:$M$22)+SUM('[3]117317'!$J$22:$M$22)+SUM('[4]117317'!$J$22:$M$22)+SUM('[1]117317'!$J$23:$M$23) + SUM('[2]117409'!$J$22:$M$22)+SUM('[3]117409'!$J$22:$M$22)+SUM('[4]117409'!$J$22:$M$22)+SUM('[1]117409'!$J$23:$M$23) + SUM('[2]117469'!$J$22:$M$22)+SUM('[3]117469'!$J$22:$M$22)+SUM('[4]117469'!$J$22:$M$22)+SUM('[1]117469'!$J$23:$M$23)-(SUM('[2]117317'!$J$39:$M$39)+SUM('[3]117317'!$J$39:$M$39)+SUM('[4]117317'!$J$39:$M$39)+SUM('[1]117317'!$J$40:$M$40) + SUM('[2]117409'!$J$39:$M$39)+SUM('[3]117409'!$J$39:$M$39)+SUM('[4]117409'!$J$39:$M$39)+SUM('[1]117409'!$J$40:$M$40) + SUM('[2]117469'!$J$39:$M$39)+SUM('[3]117469'!$J$39:$M$39)+SUM('[4]117469'!$J$39:$M$39)+SUM('[1]117469'!$J$40:$M$40))</f>
        <v>10</v>
      </c>
    </row>
    <row r="14" spans="1:19" x14ac:dyDescent="0.25">
      <c r="A14" s="46" t="s">
        <v>44</v>
      </c>
      <c r="B14" s="46" t="s">
        <v>69</v>
      </c>
      <c r="C14" s="45"/>
      <c r="D14" s="21">
        <v>0.9</v>
      </c>
      <c r="E14" s="177"/>
      <c r="F14" s="188"/>
      <c r="G14" s="144">
        <f t="shared" si="0"/>
        <v>1</v>
      </c>
      <c r="H14" s="143">
        <f t="shared" si="1"/>
        <v>0</v>
      </c>
      <c r="L14" s="157">
        <f>SUM('[2]117306'!$J$22:$M$22)+SUM('[3]117306'!$J$22:$M$22)+SUM('[4]117306'!$J$22:$M$22)+SUM('[1]117306'!$J$23:$M$23) + SUM('[2]117706'!$J$22:$M$22)+SUM('[3]117706'!$J$22:$M$22)+SUM('[4]117706'!$J$22:$M$22)+SUM('[1]117706'!$J$23:$M$23) + SUM('[2]117448'!$J$22:$M$22)+SUM('[3]117448'!$J$22:$M$22)+SUM('[4]117448'!$J$22:$M$22)+SUM('[1]117448'!$J$23:$M$23) + SUM('[2]117449'!$J$22:$M$22)+SUM('[3]117449'!$J$22:$M$22)+SUM('[4]117449'!$J$22:$M$22)+SUM('[1]117449'!$J$23:$M$23) + SUM('[2]117472'!$J$22:$M$22)+SUM('[3]117472'!$J$22:$M$22)+SUM('[4]117472'!$J$22:$M$22)+SUM('[1]117472'!$J$23:$M$23)</f>
        <v>15</v>
      </c>
      <c r="N14" s="157">
        <f>SUM('[2]117306'!$J$39:$M$39)+SUM('[3]117306'!$J$39:$M$39)+SUM('[4]117306'!$J$39:$M$39)+SUM('[1]117306'!$J$40:$M$40) + SUM('[2]117706'!$J$39:$M$39)+SUM('[3]117706'!$J$39:$M$39)+SUM('[4]117706'!$J$39:$M$39)+SUM('[1]117706'!$J$40:$M$40) + SUM('[2]117448'!$J$39:$M$39)+SUM('[3]117448'!$J$39:$M$39)+SUM('[4]117448'!$J$39:$M$39)+SUM('[1]117448'!$J$40:$M$40) + SUM('[2]117449'!$J$39:$M$39)+SUM('[3]117449'!$J$39:$M$39)+SUM('[4]117449'!$J$39:$M$39)+SUM('[1]117449'!$J$40:$M$40) + SUM('[2]117472'!$J$39:$M$39)+SUM('[3]117472'!$J$39:$M$39)+SUM('[4]117472'!$J$39:$M$39)+SUM('[1]117472'!$J$40:$M$40)</f>
        <v>0</v>
      </c>
      <c r="P14" s="157">
        <f t="shared" si="2"/>
        <v>15</v>
      </c>
      <c r="S14" s="188">
        <f>SUM('[2]117306'!$J$22:$M$22)+SUM('[3]117306'!$J$22:$M$22)+SUM('[4]117306'!$J$22:$M$22)+SUM('[1]117306'!$J$23:$M$23) + SUM('[2]117706'!$J$22:$M$22)+SUM('[3]117706'!$J$22:$M$22)+SUM('[4]117706'!$J$22:$M$22)+SUM('[1]117706'!$J$23:$M$23) + SUM('[2]117448'!$J$22:$M$22)+SUM('[3]117448'!$J$22:$M$22)+SUM('[4]117448'!$J$22:$M$22)+SUM('[1]117448'!$J$23:$M$23) + SUM('[2]117449'!$J$22:$M$22)+SUM('[3]117449'!$J$22:$M$22)+SUM('[4]117449'!$J$22:$M$22)+SUM('[1]117449'!$J$23:$M$23) + SUM('[2]117472'!$J$22:$M$22)+SUM('[3]117472'!$J$22:$M$22)+SUM('[4]117472'!$J$22:$M$22)+SUM('[1]117472'!$J$23:$M$23)-(SUM('[2]117306'!$J$39:$M$39)+SUM('[3]117306'!$J$39:$M$39)+SUM('[4]117306'!$J$39:$M$39)+SUM('[1]117306'!$J$40:$M$40) + SUM('[2]117706'!$J$39:$M$39)+SUM('[3]117706'!$J$39:$M$39)+SUM('[4]117706'!$J$39:$M$39)+SUM('[1]117706'!$J$40:$M$40) + SUM('[2]117448'!$J$39:$M$39)+SUM('[3]117448'!$J$39:$M$39)+SUM('[4]117448'!$J$39:$M$39)+SUM('[1]117448'!$J$40:$M$40) + SUM('[2]117449'!$J$39:$M$39)+SUM('[3]117449'!$J$39:$M$39)+SUM('[4]117449'!$J$39:$M$39)+SUM('[1]117449'!$J$40:$M$40) + SUM('[2]117472'!$J$39:$M$39)+SUM('[3]117472'!$J$39:$M$39)+SUM('[4]117472'!$J$39:$M$39)+SUM('[1]117472'!$J$40:$M$40))</f>
        <v>15</v>
      </c>
    </row>
    <row r="15" spans="1:19" x14ac:dyDescent="0.25">
      <c r="A15" s="46" t="s">
        <v>48</v>
      </c>
      <c r="B15" s="46" t="s">
        <v>69</v>
      </c>
      <c r="C15" s="45"/>
      <c r="D15" s="21">
        <v>0.9</v>
      </c>
      <c r="E15" s="177"/>
      <c r="F15" s="188"/>
      <c r="G15" s="144">
        <f t="shared" si="0"/>
        <v>1</v>
      </c>
      <c r="H15" s="143">
        <f t="shared" si="1"/>
        <v>0</v>
      </c>
      <c r="L15" s="157">
        <f>SUM('[2]117308'!$J$22:$M$22)+SUM('[3]117308'!$J$22:$M$22)+SUM('[4]117308'!$J$22:$M$22)+SUM('[1]117308'!$J$23:$M$23) + SUM('[2]117454'!$J$22:$M$22)+SUM('[3]117454'!$J$22:$M$22)+SUM('[4]117454'!$J$22:$M$22)+SUM('[1]117454'!$J$23:$M$23)</f>
        <v>11</v>
      </c>
      <c r="N15" s="157">
        <f>SUM('[2]117308'!$J$39:$M$39)+SUM('[3]117308'!$J$39:$M$39)+SUM('[4]117308'!$J$39:$M$39)+SUM('[1]117308'!$J$40:$M$40) + SUM('[2]117454'!$J$39:$M$39)+SUM('[3]117454'!$J$39:$M$39)+SUM('[4]117454'!$J$39:$M$39)+SUM('[1]117454'!$J$40:$M$40)</f>
        <v>0</v>
      </c>
      <c r="P15" s="157">
        <f t="shared" si="2"/>
        <v>11</v>
      </c>
      <c r="S15" s="188">
        <f>SUM('[2]117308'!$J$22:$M$22)+SUM('[3]117308'!$J$22:$M$22)+SUM('[4]117308'!$J$22:$M$22)+SUM('[1]117308'!$J$23:$M$23) + SUM('[2]117454'!$J$22:$M$22)+SUM('[3]117454'!$J$22:$M$22)+SUM('[4]117454'!$J$22:$M$22)+SUM('[1]117454'!$J$23:$M$23)-(SUM('[2]117308'!$J$39:$M$39)+SUM('[3]117308'!$J$39:$M$39)+SUM('[4]117308'!$J$39:$M$39)+SUM('[1]117308'!$J$40:$M$40) + SUM('[2]117454'!$J$39:$M$39)+SUM('[3]117454'!$J$39:$M$39)+SUM('[4]117454'!$J$39:$M$39)+SUM('[1]117454'!$J$40:$M$40))</f>
        <v>11</v>
      </c>
    </row>
    <row r="16" spans="1:19" x14ac:dyDescent="0.25">
      <c r="A16" s="46" t="s">
        <v>49</v>
      </c>
      <c r="B16" s="46" t="s">
        <v>69</v>
      </c>
      <c r="C16" s="45"/>
      <c r="D16" s="21">
        <v>0.9</v>
      </c>
      <c r="E16" s="140"/>
      <c r="F16" s="188"/>
      <c r="G16" s="144">
        <f t="shared" si="0"/>
        <v>1</v>
      </c>
      <c r="H16" s="143">
        <f t="shared" si="1"/>
        <v>0</v>
      </c>
      <c r="L16" s="157">
        <f>SUM('[2]117319'!$J$22:$M$22)+SUM('[3]117319'!$J$22:$M$22)+SUM('[4]117319'!$J$22:$M$22)+SUM('[1]117319'!$J$23:$M$23)</f>
        <v>3</v>
      </c>
      <c r="N16" s="157">
        <f>SUM('[2]117319'!$J$39:$M$39)+SUM('[3]117319'!$J$39:$M$39)+SUM('[4]117319'!$J$39:$M$39)+SUM('[1]117319'!$J$40:$M$40)</f>
        <v>0</v>
      </c>
      <c r="P16" s="157">
        <f t="shared" si="2"/>
        <v>3</v>
      </c>
      <c r="S16" s="188">
        <f>SUM('[2]117319'!$J$22:$M$22)+SUM('[3]117319'!$J$22:$M$22)+SUM('[4]117319'!$J$22:$M$22)+SUM('[1]117319'!$J$23:$M$23)-(SUM('[2]117319'!$J$39:$M$39)+SUM('[3]117319'!$J$39:$M$39)+SUM('[4]117319'!$J$39:$M$39)+SUM('[1]117319'!$J$40:$M$40))</f>
        <v>3</v>
      </c>
    </row>
    <row r="17" spans="1:19" x14ac:dyDescent="0.25">
      <c r="A17" s="46" t="s">
        <v>28</v>
      </c>
      <c r="B17" s="46" t="s">
        <v>69</v>
      </c>
      <c r="C17" s="45"/>
      <c r="D17" s="21">
        <v>0.9</v>
      </c>
      <c r="E17" s="140"/>
      <c r="F17" s="188"/>
      <c r="G17" s="144">
        <f t="shared" si="0"/>
        <v>1</v>
      </c>
      <c r="H17" s="143">
        <f t="shared" si="1"/>
        <v>0</v>
      </c>
      <c r="L17" s="157">
        <f>SUM('[2]117455'!$J$22:$M$22)+SUM('[3]117455'!$J$22:$M$22)+SUM('[4]117455'!$J$22:$M$22)+SUM('[1]117455'!$J$23:$M$23)</f>
        <v>3</v>
      </c>
      <c r="N17" s="157">
        <f>SUM('[2]117455'!$J$39:$M$39)+SUM('[3]117455'!$J$39:$M$39)+SUM('[4]117455'!$J$39:$M$39)+SUM('[1]117455'!$J$40:$M$40)</f>
        <v>0</v>
      </c>
      <c r="P17" s="157">
        <f t="shared" si="2"/>
        <v>3</v>
      </c>
      <c r="S17" s="188">
        <f>SUM('[2]117455'!$J$22:$M$22)+SUM('[3]117455'!$J$22:$M$22)+SUM('[4]117455'!$J$22:$M$22)+SUM('[1]117455'!$J$23:$M$23)-(SUM('[2]117455'!$J$39:$M$39)+SUM('[3]117455'!$J$39:$M$39)+SUM('[4]117455'!$J$39:$M$39)+SUM('[1]117455'!$J$40:$M$40))</f>
        <v>3</v>
      </c>
    </row>
    <row r="18" spans="1:19" x14ac:dyDescent="0.25">
      <c r="A18" s="46" t="s">
        <v>37</v>
      </c>
      <c r="B18" s="46" t="s">
        <v>69</v>
      </c>
      <c r="C18" s="45"/>
      <c r="D18" s="21">
        <v>0.9</v>
      </c>
      <c r="E18" s="140"/>
      <c r="F18" s="188"/>
      <c r="G18" s="144">
        <f t="shared" si="0"/>
        <v>1</v>
      </c>
      <c r="H18" s="143">
        <f t="shared" si="1"/>
        <v>0</v>
      </c>
      <c r="L18" s="157">
        <f>SUM('[2]117315'!$J$22:$M$22)+SUM('[3]117315'!$J$22:$M$22)+SUM('[4]117315'!$J$22:$M$22)+SUM('[1]117315'!$J$23:$M$23) + SUM('[2]117458'!$J$22:$M$22)+SUM('[3]117458'!$J$22:$M$22)+SUM('[4]117458'!$J$22:$M$22)+SUM('[1]117458'!$J$23:$M$23)</f>
        <v>0</v>
      </c>
      <c r="N18" s="157">
        <f>SUM('[2]117315'!$J$39:$M$39)+SUM('[3]117315'!$J$39:$M$39)+SUM('[4]117315'!$J$39:$M$39)+SUM('[1]117315'!$J$40:$M$40) + SUM('[2]117458'!$J$39:$M$39)+SUM('[3]117458'!$J$39:$M$39)+SUM('[4]117458'!$J$39:$M$39)+SUM('[1]117458'!$J$40:$M$40)</f>
        <v>0</v>
      </c>
      <c r="P18" s="157">
        <f t="shared" si="2"/>
        <v>0</v>
      </c>
      <c r="S18" s="188">
        <f>SUM('[2]117315'!$J$22:$M$22)+SUM('[3]117315'!$J$22:$M$22)+SUM('[4]117315'!$J$22:$M$22)+SUM('[1]117315'!$J$23:$M$23) + SUM('[2]117458'!$J$22:$M$22)+SUM('[3]117458'!$J$22:$M$22)+SUM('[4]117458'!$J$22:$M$22)+SUM('[1]117458'!$J$23:$M$23)-(SUM('[2]117315'!$J$39:$M$39)+SUM('[3]117315'!$J$39:$M$39)+SUM('[4]117315'!$J$39:$M$39)+SUM('[1]117315'!$J$40:$M$40) + SUM('[2]117458'!$J$39:$M$39)+SUM('[3]117458'!$J$39:$M$39)+SUM('[4]117458'!$J$39:$M$39)+SUM('[1]117458'!$J$40:$M$40))</f>
        <v>0</v>
      </c>
    </row>
    <row r="19" spans="1:19" x14ac:dyDescent="0.25">
      <c r="A19" s="46" t="s">
        <v>29</v>
      </c>
      <c r="B19" s="46" t="s">
        <v>69</v>
      </c>
      <c r="C19" s="45"/>
      <c r="D19" s="21">
        <v>0.9</v>
      </c>
      <c r="E19" s="140"/>
      <c r="F19" s="188"/>
      <c r="G19" s="144">
        <f t="shared" si="0"/>
        <v>1</v>
      </c>
      <c r="H19" s="143">
        <f t="shared" si="1"/>
        <v>0</v>
      </c>
      <c r="L19" s="157">
        <f>SUM('[2]117326'!$J$22:$M$22)+SUM('[3]117326'!$J$22:$M$22)+SUM('[4]117326'!$J$22:$M$22)+SUM('[1]117326'!$J$23:$M$23) + SUM('[2]117426'!$J$22:$M$22)+SUM('[3]117426'!$J$22:$M$22)+SUM('[4]117426'!$J$22:$M$22)+SUM('[1]117426'!$J$23:$M$23)</f>
        <v>10</v>
      </c>
      <c r="N19" s="157">
        <f>SUM('[2]117326'!$J$39:$M$39)+SUM('[3]117326'!$J$39:$M$39)+SUM('[4]117326'!$J$39:$M$39)+SUM('[1]117326'!$J$40:$M$40) + SUM('[2]117426'!$J$39:$M$39)+SUM('[3]117426'!$J$39:$M$39)+SUM('[4]117426'!$J$39:$M$39)+SUM('[1]117426'!$J$40:$M$40)</f>
        <v>0</v>
      </c>
      <c r="P19" s="157">
        <f t="shared" si="2"/>
        <v>10</v>
      </c>
      <c r="S19" s="188">
        <f>SUM('[2]117326'!$J$22:$M$22)+SUM('[3]117326'!$J$22:$M$22)+SUM('[4]117326'!$J$22:$M$22)+SUM('[1]117326'!$J$23:$M$23) + SUM('[2]117426'!$J$22:$M$22)+SUM('[3]117426'!$J$22:$M$22)+SUM('[4]117426'!$J$22:$M$22)+SUM('[1]117426'!$J$23:$M$23)-(SUM('[2]117326'!$J$39:$M$39)+SUM('[3]117326'!$J$39:$M$39)+SUM('[4]117326'!$J$39:$M$39)+SUM('[1]117326'!$J$40:$M$40) + SUM('[2]117426'!$J$39:$M$39)+SUM('[3]117426'!$J$39:$M$39)+SUM('[4]117426'!$J$39:$M$39)+SUM('[1]117426'!$J$40:$M$40))</f>
        <v>10</v>
      </c>
    </row>
    <row r="20" spans="1:19" x14ac:dyDescent="0.25">
      <c r="A20" s="40"/>
      <c r="B20" s="36" t="s">
        <v>69</v>
      </c>
      <c r="C20" s="28"/>
      <c r="D20" s="84" t="s">
        <v>69</v>
      </c>
      <c r="E20" s="87"/>
      <c r="F20" s="87"/>
      <c r="G20" s="35" t="str">
        <f>IFERROR(E20/F20,"")</f>
        <v/>
      </c>
      <c r="H20" s="38"/>
      <c r="L20" s="87">
        <f>SUM(L3:L19)</f>
        <v>130</v>
      </c>
      <c r="N20" s="87">
        <f>SUM(N3:N19)</f>
        <v>3</v>
      </c>
      <c r="P20" s="87">
        <f t="shared" si="2"/>
        <v>127</v>
      </c>
      <c r="S20" s="87">
        <f>SUM(S3:S19)</f>
        <v>127</v>
      </c>
    </row>
    <row r="21" spans="1:19" x14ac:dyDescent="0.25">
      <c r="A21" s="46" t="s">
        <v>30</v>
      </c>
      <c r="B21" s="46" t="s">
        <v>68</v>
      </c>
      <c r="C21" s="45"/>
      <c r="D21" s="21">
        <v>0.9</v>
      </c>
      <c r="E21" s="140"/>
      <c r="F21" s="188"/>
      <c r="G21" s="142">
        <f t="shared" ref="G21:G27" si="3">IF(D21="aut",100%,IF(F21=0,100%,E21/F21))</f>
        <v>1</v>
      </c>
      <c r="H21" s="143">
        <f t="shared" ref="H21:H27" si="4">IF(D21="aut",$C$2,IF(G21&gt;=D21,$C$2,((G21/D21)*$C$2)))</f>
        <v>0</v>
      </c>
      <c r="L21" s="157">
        <f>SUM('[2]117307'!$J$22:$M$22)+SUM('[3]117307'!$J$22:$M$22)+SUM('[4]117307'!$J$22:$M$22)+SUM('[1]117307'!$J$23:$M$23)+SUM('[2]117451'!$J$22:$M$22)+SUM('[3]117451'!$J$22:$M$22)+SUM('[4]117451'!$J$22:$M$22)+SUM('[1]117451'!$J$23:$M$23)+SUM('[2]117452'!$J$22:$M$22)+SUM('[3]117452'!$J$22:$M$22)+SUM('[4]117452'!$J$22:$M$22)+SUM('[1]117452'!$J$23:$M$23)</f>
        <v>6</v>
      </c>
      <c r="N21" s="157">
        <f>SUM('[2]117307'!$J$39:$M$39)+SUM('[3]117307'!$J$39:$M$39)+SUM('[4]117307'!$J$39:$M$39)+SUM('[1]117307'!$J$40:$M$40)+SUM('[2]117451'!$J$39:$M$39)+SUM('[3]117451'!$J$39:$M$39)+SUM('[4]117451'!$J$39:$M$39)+SUM('[1]117451'!$J$40:$M$40)+SUM('[2]117452'!$J$39:$M$39)+SUM('[3]117452'!$J$39:$M$39)+SUM('[4]117452'!$J$39:$M$39)+SUM('[1]117452'!$J$40:$M$40)</f>
        <v>0</v>
      </c>
      <c r="P21" s="157">
        <f t="shared" si="2"/>
        <v>6</v>
      </c>
      <c r="S21" s="188">
        <f>SUM('[2]117307'!$J$22:$M$22)+SUM('[3]117307'!$J$22:$M$22)+SUM('[4]117307'!$J$22:$M$22)+SUM('[1]117307'!$J$23:$M$23)+SUM('[2]117451'!$J$22:$M$22)+SUM('[3]117451'!$J$22:$M$22)+SUM('[4]117451'!$J$22:$M$22)+SUM('[1]117451'!$J$23:$M$23)+SUM('[2]117452'!$J$22:$M$22)+SUM('[3]117452'!$J$22:$M$22)+SUM('[4]117452'!$J$22:$M$22)+SUM('[1]117452'!$J$23:$M$23)-(SUM('[2]117307'!$J$39:$M$39)+SUM('[3]117307'!$J$39:$M$39)+SUM('[4]117307'!$J$39:$M$39)+SUM('[1]117307'!$J$40:$M$40)+SUM('[2]117451'!$J$39:$M$39)+SUM('[3]117451'!$J$39:$M$39)+SUM('[4]117451'!$J$39:$M$39)+SUM('[1]117451'!$J$40:$M$40)+SUM('[2]117452'!$J$39:$M$39)+SUM('[3]117452'!$J$39:$M$39)+SUM('[4]117452'!$J$39:$M$39)+SUM('[1]117452'!$J$40:$M$40))</f>
        <v>6</v>
      </c>
    </row>
    <row r="22" spans="1:19" x14ac:dyDescent="0.25">
      <c r="A22" s="46" t="s">
        <v>53</v>
      </c>
      <c r="B22" s="46" t="s">
        <v>68</v>
      </c>
      <c r="C22" s="45"/>
      <c r="D22" s="21">
        <v>0.9</v>
      </c>
      <c r="E22" s="140"/>
      <c r="F22" s="189"/>
      <c r="G22" s="142">
        <f t="shared" si="3"/>
        <v>1</v>
      </c>
      <c r="H22" s="143">
        <f t="shared" si="4"/>
        <v>0</v>
      </c>
      <c r="L22" s="140">
        <f>SUM('[2]117439'!$J$22:$M$22)+SUM('[3]117439'!$J$22:$M$22)+SUM('[4]117439'!$J$22:$M$22)+SUM('[1]117439'!$J$23:$M$23)+SUM('[2]117442'!$J$22:$M$22)+SUM('[3]117442'!$J$22:$M$22)+SUM('[4]117442'!$J$22:$M$22)+SUM('[1]117442'!$J$23:$M$23)+SUM('[2]117445'!$J$22:$M$22)+SUM('[3]117445'!$J$22:$M$22)+SUM('[4]117445'!$J$22:$M$22)+SUM('[1]117445'!$J$23:$M$23)</f>
        <v>6</v>
      </c>
      <c r="N22" s="140">
        <f>SUM('[2]117439'!$J$39:$M$39)+SUM('[3]117439'!$J$39:$M$39)+SUM('[4]117439'!$J$39:$M$39)+SUM('[1]117439'!$J$40:$M$40)+SUM('[2]117442'!$J$39:$M$39)+SUM('[3]117442'!$J$39:$M$39)+SUM('[4]117442'!$J$39:$M$39)+SUM('[1]117442'!$J$40:$M$40)+SUM('[2]117445'!$J$39:$M$39)+SUM('[3]117445'!$J$39:$M$39)+SUM('[4]117445'!$J$39:$M$39)+SUM('[1]117445'!$J$40:$M$40)</f>
        <v>0</v>
      </c>
      <c r="P22" s="140">
        <f t="shared" si="2"/>
        <v>6</v>
      </c>
      <c r="S22" s="189">
        <f>SUM('[2]117439'!$J$22:$M$22)+SUM('[3]117439'!$J$22:$M$22)+SUM('[4]117439'!$J$22:$M$22)+SUM('[1]117439'!$J$23:$M$23)+SUM('[2]117442'!$J$22:$M$22)+SUM('[3]117442'!$J$22:$M$22)+SUM('[4]117442'!$J$22:$M$22)+SUM('[1]117442'!$J$23:$M$23)+SUM('[2]117445'!$J$22:$M$22)+SUM('[3]117445'!$J$22:$M$22)+SUM('[4]117445'!$J$22:$M$22)+SUM('[1]117445'!$J$23:$M$23)-(SUM('[2]117439'!$J$39:$M$39)+SUM('[3]117439'!$J$39:$M$39)+SUM('[4]117439'!$J$39:$M$39)+SUM('[1]117439'!$J$40:$M$40)+SUM('[2]117442'!$J$39:$M$39)+SUM('[3]117442'!$J$39:$M$39)+SUM('[4]117442'!$J$39:$M$39)+SUM('[1]117442'!$J$40:$M$40)+SUM('[2]117445'!$J$39:$M$39)+SUM('[3]117445'!$J$39:$M$39)+SUM('[4]117445'!$J$39:$M$39)+SUM('[1]117445'!$J$40:$M$40))</f>
        <v>6</v>
      </c>
    </row>
    <row r="23" spans="1:19" x14ac:dyDescent="0.25">
      <c r="A23" s="46" t="s">
        <v>33</v>
      </c>
      <c r="B23" s="46" t="s">
        <v>68</v>
      </c>
      <c r="C23" s="45"/>
      <c r="D23" s="21">
        <v>0.9</v>
      </c>
      <c r="E23" s="140"/>
      <c r="F23" s="188"/>
      <c r="G23" s="142">
        <f t="shared" si="3"/>
        <v>1</v>
      </c>
      <c r="H23" s="143">
        <f t="shared" si="4"/>
        <v>0</v>
      </c>
      <c r="L23" s="157">
        <f>SUM('[2]117314'!$J$22:$M$22)+SUM('[3]117314'!$J$22:$M$22)+SUM('[4]117314'!$J$22:$M$22)+SUM('[1]117314'!$J$23:$M$23)+SUM('[2]117433'!$J$22:$M$22)+SUM('[3]117433'!$J$22:$M$22)+SUM('[4]117433'!$J$22:$M$22)+SUM('[1]117433'!$J$23:$M$23)+SUM('[2]117463'!$J$22:$M$22)+SUM('[3]117463'!$J$22:$M$22)+SUM('[4]117463'!$J$22:$M$22)+SUM('[1]117463'!$J$23:$M$23)</f>
        <v>1</v>
      </c>
      <c r="N23" s="157">
        <f>SUM('[2]117314'!$J$39:$M$39)+SUM('[3]117314'!$J$39:$M$39)+SUM('[4]117314'!$J$39:$M$39)+SUM('[1]117314'!$J$40:$M$40)+SUM('[2]117433'!$J$39:$M$39)+SUM('[3]117433'!$J$39:$M$39)+SUM('[4]117433'!$J$39:$M$39)+SUM('[1]117433'!$J$40:$M$40)+SUM('[2]117463'!$J$39:$M$39)+SUM('[3]117463'!$J$39:$M$39)+SUM('[4]117463'!$J$39:$M$39)+SUM('[1]117463'!$J$40:$M$40)</f>
        <v>0</v>
      </c>
      <c r="P23" s="157">
        <f t="shared" si="2"/>
        <v>1</v>
      </c>
      <c r="S23" s="188">
        <f>SUM('[2]117314'!$J$22:$M$22)+SUM('[3]117314'!$J$22:$M$22)+SUM('[4]117314'!$J$22:$M$22)+SUM('[1]117314'!$J$23:$M$23)+SUM('[2]117433'!$J$22:$M$22)+SUM('[3]117433'!$J$22:$M$22)+SUM('[4]117433'!$J$22:$M$22)+SUM('[1]117433'!$J$23:$M$23)+SUM('[2]117463'!$J$22:$M$22)+SUM('[3]117463'!$J$22:$M$22)+SUM('[4]117463'!$J$22:$M$22)+SUM('[1]117463'!$J$23:$M$23)-(SUM('[2]117314'!$J$39:$M$39)+SUM('[3]117314'!$J$39:$M$39)+SUM('[4]117314'!$J$39:$M$39)+SUM('[1]117314'!$J$40:$M$40)+SUM('[2]117433'!$J$39:$M$39)+SUM('[3]117433'!$J$39:$M$39)+SUM('[4]117433'!$J$39:$M$39)+SUM('[1]117433'!$J$40:$M$40)+SUM('[2]117463'!$J$39:$M$39)+SUM('[3]117463'!$J$39:$M$39)+SUM('[4]117463'!$J$39:$M$39)+SUM('[1]117463'!$J$40:$M$40))</f>
        <v>1</v>
      </c>
    </row>
    <row r="24" spans="1:19" x14ac:dyDescent="0.25">
      <c r="A24" s="46" t="s">
        <v>43</v>
      </c>
      <c r="B24" s="46" t="s">
        <v>68</v>
      </c>
      <c r="C24" s="45"/>
      <c r="D24" s="21">
        <v>0.9</v>
      </c>
      <c r="E24" s="140"/>
      <c r="F24" s="188"/>
      <c r="G24" s="142">
        <f t="shared" si="3"/>
        <v>1</v>
      </c>
      <c r="H24" s="143">
        <f t="shared" si="4"/>
        <v>0</v>
      </c>
      <c r="L24" s="157">
        <f>SUM('[2]117305'!$J$22:$M$22)+SUM('[3]117305'!$J$22:$M$22)+SUM('[4]117305'!$J$22:$M$22)+SUM('[1]117305'!$J$23:$M$23)+SUM('[2]117447'!$J$22:$M$22)+SUM('[3]117447'!$J$22:$M$22)+SUM('[4]117447'!$J$22:$M$22)+SUM('[1]117447'!$J$23:$M$23)+SUM('[2]117459'!$J$22:$M$22)+SUM('[3]117459'!$J$22:$M$22)+SUM('[4]117459'!$J$22:$M$22)+SUM('[1]117459'!$J$23:$M$23)</f>
        <v>0</v>
      </c>
      <c r="N24" s="157">
        <f>SUM('[2]117305'!$J$39:$M$39)+SUM('[3]117305'!$J$39:$M$39)+SUM('[4]117305'!$J$39:$M$39)+SUM('[1]117305'!$J$40:$M$40)+SUM('[2]117447'!$J$39:$M$39)+SUM('[3]117447'!$J$39:$M$39)+SUM('[4]117447'!$J$39:$M$39)+SUM('[1]117447'!$J$40:$M$40)+SUM('[2]117459'!$J$39:$M$39)+SUM('[3]117459'!$J$39:$M$39)+SUM('[4]117459'!$J$39:$M$39)+SUM('[1]117459'!$J$40:$M$40)</f>
        <v>0</v>
      </c>
      <c r="P24" s="157">
        <f t="shared" si="2"/>
        <v>0</v>
      </c>
      <c r="S24" s="188">
        <f>SUM('[2]117305'!$J$22:$M$22)+SUM('[3]117305'!$J$22:$M$22)+SUM('[4]117305'!$J$22:$M$22)+SUM('[1]117305'!$J$23:$M$23)+SUM('[2]117447'!$J$22:$M$22)+SUM('[3]117447'!$J$22:$M$22)+SUM('[4]117447'!$J$22:$M$22)+SUM('[1]117447'!$J$23:$M$23)+SUM('[2]117459'!$J$22:$M$22)+SUM('[3]117459'!$J$22:$M$22)+SUM('[4]117459'!$J$22:$M$22)+SUM('[1]117459'!$J$23:$M$23)-(SUM('[2]117305'!$J$39:$M$39)+SUM('[3]117305'!$J$39:$M$39)+SUM('[4]117305'!$J$39:$M$39)+SUM('[1]117305'!$J$40:$M$40)+SUM('[2]117447'!$J$39:$M$39)+SUM('[3]117447'!$J$39:$M$39)+SUM('[4]117447'!$J$39:$M$39)+SUM('[1]117447'!$J$40:$M$40)+SUM('[2]117459'!$J$39:$M$39)+SUM('[3]117459'!$J$39:$M$39)+SUM('[4]117459'!$J$39:$M$39)+SUM('[1]117459'!$J$40:$M$40))</f>
        <v>0</v>
      </c>
    </row>
    <row r="25" spans="1:19" x14ac:dyDescent="0.25">
      <c r="A25" s="46" t="s">
        <v>54</v>
      </c>
      <c r="B25" s="46" t="s">
        <v>68</v>
      </c>
      <c r="C25" s="45"/>
      <c r="D25" s="21">
        <v>0.9</v>
      </c>
      <c r="E25" s="140"/>
      <c r="F25" s="188"/>
      <c r="G25" s="142">
        <f t="shared" si="3"/>
        <v>1</v>
      </c>
      <c r="H25" s="143">
        <f t="shared" si="4"/>
        <v>0</v>
      </c>
      <c r="L25" s="157">
        <f>SUM('[2]117434'!$J$22:$M$22)+SUM('[3]117434'!$J$22:$M$22)+SUM('[4]117434'!$J$22:$M$22)+SUM('[1]117434'!$J$23:$M$23)</f>
        <v>0</v>
      </c>
      <c r="N25" s="157">
        <f>SUM('[2]117434'!$J$39:$M$39)+SUM('[3]117434'!$J$39:$M$39)+SUM('[4]117434'!$J$39:$M$39)+SUM('[1]117434'!$J$40:$M$40)</f>
        <v>0</v>
      </c>
      <c r="P25" s="157">
        <f t="shared" si="2"/>
        <v>0</v>
      </c>
      <c r="S25" s="188">
        <f>SUM('[2]117434'!$J$22:$M$22)+SUM('[3]117434'!$J$22:$M$22)+SUM('[4]117434'!$J$22:$M$22)+SUM('[1]117434'!$J$23:$M$23)-(SUM('[2]117434'!$J$39:$M$39)+SUM('[3]117434'!$J$39:$M$39)+SUM('[4]117434'!$J$39:$M$39)+SUM('[1]117434'!$J$40:$M$40))</f>
        <v>0</v>
      </c>
    </row>
    <row r="26" spans="1:19" x14ac:dyDescent="0.25">
      <c r="A26" s="46" t="s">
        <v>26</v>
      </c>
      <c r="B26" s="46" t="s">
        <v>68</v>
      </c>
      <c r="C26" s="45"/>
      <c r="D26" s="21">
        <v>0.9</v>
      </c>
      <c r="E26" s="140"/>
      <c r="F26" s="188"/>
      <c r="G26" s="142">
        <f t="shared" si="3"/>
        <v>1</v>
      </c>
      <c r="H26" s="143">
        <f t="shared" si="4"/>
        <v>0</v>
      </c>
      <c r="L26" s="157">
        <f>SUM('[2]117316'!$J$22:$M$22)+SUM('[3]117316'!$J$22:$M$22)+SUM('[4]117316'!$J$22:$M$22)+SUM('[1]117316'!$J$23:$M$23)+SUM('[2]117427'!$J$22:$M$22)+SUM('[3]117427'!$J$22:$M$22)+SUM('[4]117427'!$J$22:$M$22)+SUM('[1]117427'!$J$23:$M$23)+SUM('[2]117465'!$J$22:$M$22)+SUM('[3]117465'!$J$22:$M$22)+SUM('[4]117465'!$J$22:$M$22)+SUM('[1]117465'!$J$23:$M$23)</f>
        <v>1</v>
      </c>
      <c r="N26" s="157">
        <f>SUM('[2]117316'!$J$39:$M$39)+SUM('[3]117316'!$J$39:$M$39)+SUM('[4]117316'!$J$39:$M$39)+SUM('[1]117316'!$J$40:$M$40)+SUM('[2]117427'!$J$39:$M$39)+SUM('[3]117427'!$J$39:$M$39)+SUM('[4]117427'!$J$39:$M$39)+SUM('[1]117427'!$J$40:$M$40)+SUM('[2]117465'!$J$39:$M$39)+SUM('[3]117465'!$J$39:$M$39)+SUM('[4]117465'!$J$39:$M$39)+SUM('[1]117465'!$J$40:$M$40)</f>
        <v>0</v>
      </c>
      <c r="P26" s="157">
        <f t="shared" si="2"/>
        <v>1</v>
      </c>
      <c r="S26" s="188">
        <f>SUM('[2]117316'!$J$22:$M$22)+SUM('[3]117316'!$J$22:$M$22)+SUM('[4]117316'!$J$22:$M$22)+SUM('[1]117316'!$J$23:$M$23)+SUM('[2]117427'!$J$22:$M$22)+SUM('[3]117427'!$J$22:$M$22)+SUM('[4]117427'!$J$22:$M$22)+SUM('[1]117427'!$J$23:$M$23)+SUM('[2]117465'!$J$22:$M$22)+SUM('[3]117465'!$J$22:$M$22)+SUM('[4]117465'!$J$22:$M$22)+SUM('[1]117465'!$J$23:$M$23)-(SUM('[2]117316'!$J$39:$M$39)+SUM('[3]117316'!$J$39:$M$39)+SUM('[4]117316'!$J$39:$M$39)+SUM('[1]117316'!$J$40:$M$40)+SUM('[2]117427'!$J$39:$M$39)+SUM('[3]117427'!$J$39:$M$39)+SUM('[4]117427'!$J$39:$M$39)+SUM('[1]117427'!$J$40:$M$40)+SUM('[2]117465'!$J$39:$M$39)+SUM('[3]117465'!$J$39:$M$39)+SUM('[4]117465'!$J$39:$M$39)+SUM('[1]117465'!$J$40:$M$40))</f>
        <v>1</v>
      </c>
    </row>
    <row r="27" spans="1:19" x14ac:dyDescent="0.25">
      <c r="A27" s="46" t="s">
        <v>36</v>
      </c>
      <c r="B27" s="46" t="s">
        <v>68</v>
      </c>
      <c r="C27" s="45"/>
      <c r="D27" s="21">
        <v>0.9</v>
      </c>
      <c r="E27" s="140"/>
      <c r="F27" s="189"/>
      <c r="G27" s="142">
        <f t="shared" si="3"/>
        <v>1</v>
      </c>
      <c r="H27" s="143">
        <f t="shared" si="4"/>
        <v>0</v>
      </c>
      <c r="L27" s="140">
        <f>(SUM('[2]117327'!$J$22:$M$22)+SUM('[3]117327'!$J$22:$M$22)+SUM('[4]117327'!$J$22:$M$22)+SUM('[1]117327'!$J$23:$M$23)+SUM('[2]117443'!$J$22:$M$22)+SUM('[3]117443'!$J$22:$M$22)+SUM('[4]117443'!$J$22:$M$22)+SUM('[1]117443'!$J$23:$M$23)+SUM('[2]117444'!$J$22:$M$22)+SUM('[3]117444'!$J$22:$M$22)+SUM('[4]117444'!$J$22:$M$22)+SUM('[1]117444'!$J$23:$M$23) + SUM('[2]117446'!$J$22:$M$22)+SUM('[3]117446'!$J$22:$M$22)+SUM('[4]117446'!$J$22:$M$22)+SUM('[1]117446'!$J$23:$M$23))</f>
        <v>2</v>
      </c>
      <c r="N27" s="140">
        <f>(SUM('[2]117327'!$J$39:$M$39)+SUM('[3]117327'!$J$39:$M$39)+SUM('[4]117327'!$J$39:$M$39)+SUM('[1]117327'!$J$40:$M$40)+SUM('[2]117443'!$J$39:$M$39)+SUM('[3]117443'!$J$39:$M$39)+SUM('[4]117443'!$J$39:$M$39)+SUM('[1]117443'!$J$40:$M$40)+SUM('[2]117444'!$J$39:$M$39)+SUM('[3]117444'!$J$39:$M$39)+SUM('[4]117444'!$J$39:$M$39)+SUM('[1]117444'!$J$40:$M$40) + SUM('[2]117446'!$J$39:$M$39)+SUM('[3]117446'!$J$39:$M$39)+SUM('[4]117446'!$J$39:$M$39)+SUM('[1]117446'!$J$40:$M$40))</f>
        <v>0</v>
      </c>
      <c r="P27" s="140">
        <f t="shared" si="2"/>
        <v>2</v>
      </c>
      <c r="S27" s="189">
        <f>(SUM('[2]117327'!$J$22:$M$22)+SUM('[3]117327'!$J$22:$M$22)+SUM('[4]117327'!$J$22:$M$22)+SUM('[1]117327'!$J$23:$M$23)+SUM('[2]117443'!$J$22:$M$22)+SUM('[3]117443'!$J$22:$M$22)+SUM('[4]117443'!$J$22:$M$22)+SUM('[1]117443'!$J$23:$M$23)+SUM('[2]117444'!$J$22:$M$22)+SUM('[3]117444'!$J$22:$M$22)+SUM('[4]117444'!$J$22:$M$22)+SUM('[1]117444'!$J$23:$M$23) + SUM('[2]117446'!$J$22:$M$22)+SUM('[3]117446'!$J$22:$M$22)+SUM('[4]117446'!$J$22:$M$22)+SUM('[1]117446'!$J$23:$M$23))-((SUM('[2]117327'!$J$39:$M$39)+SUM('[3]117327'!$J$39:$M$39)+SUM('[4]117327'!$J$39:$M$39)+SUM('[1]117327'!$J$40:$M$40)+SUM('[2]117443'!$J$39:$M$39)+SUM('[3]117443'!$J$39:$M$39)+SUM('[4]117443'!$J$39:$M$39)+SUM('[1]117443'!$J$40:$M$40)+SUM('[2]117444'!$J$39:$M$39)+SUM('[3]117444'!$J$39:$M$39)+SUM('[4]117444'!$J$39:$M$39)+SUM('[1]117444'!$J$40:$M$40) + SUM('[2]117446'!$J$39:$M$39)+SUM('[3]117446'!$J$39:$M$39)+SUM('[4]117446'!$J$39:$M$39)+SUM('[1]117446'!$J$40:$M$40)))</f>
        <v>2</v>
      </c>
    </row>
    <row r="28" spans="1:19" x14ac:dyDescent="0.25">
      <c r="A28" s="40"/>
      <c r="B28" s="36" t="s">
        <v>68</v>
      </c>
      <c r="C28" s="28"/>
      <c r="D28" s="85" t="s">
        <v>68</v>
      </c>
      <c r="E28" s="87"/>
      <c r="F28" s="88"/>
      <c r="G28" s="35" t="str">
        <f>IFERROR(E28/F28,"")</f>
        <v/>
      </c>
      <c r="H28" s="38"/>
      <c r="L28" s="88">
        <f>SUM(L21:L27)</f>
        <v>16</v>
      </c>
      <c r="N28" s="88">
        <f>SUM(N21:N27)</f>
        <v>0</v>
      </c>
      <c r="P28" s="88">
        <f t="shared" si="2"/>
        <v>16</v>
      </c>
      <c r="S28" s="88">
        <f>SUM(S21:S27)</f>
        <v>16</v>
      </c>
    </row>
    <row r="29" spans="1:19" x14ac:dyDescent="0.25">
      <c r="A29" s="46" t="s">
        <v>31</v>
      </c>
      <c r="B29" s="46" t="s">
        <v>67</v>
      </c>
      <c r="C29" s="45"/>
      <c r="D29" s="21">
        <v>0.9</v>
      </c>
      <c r="E29" s="140"/>
      <c r="F29" s="188"/>
      <c r="G29" s="142">
        <f t="shared" ref="G29:G35" si="5">IF(D29="aut",100%,IF(F29=0,100%,E29/F29))</f>
        <v>1</v>
      </c>
      <c r="H29" s="143">
        <f t="shared" ref="H29:H35" si="6">IF(D29="aut",$C$2,IF(G29&gt;=D29,$C$2,((G29/D29)*$C$2)))</f>
        <v>0</v>
      </c>
      <c r="L29" s="157">
        <f>SUM('[2]117318'!$J$22:$M$22)+SUM('[3]117318'!$J$22:$M$22)+SUM('[4]117318'!$J$22:$M$22)+SUM('[1]117318'!$J$23:$M$23)+SUM('[2]117401'!$J$22:$M$22)+SUM('[3]117401'!$J$22:$M$22)+SUM('[4]117401'!$J$22:$M$22)+SUM('[1]117401'!$J$23:$M$23)+SUM('[2]117403'!$J$22:$M$22)+SUM('[3]117403'!$J$22:$M$22)+SUM('[4]117403'!$J$22:$M$22)+SUM('[1]117403'!$J$23:$M$23) + SUM('[2]117406'!$J$22:$M$22)+SUM('[3]117406'!$J$22:$M$22)+SUM('[4]117406'!$J$22:$M$22)+SUM('[1]117406'!$J$23:$M$23) + SUM('[2]117407'!$J$22:$M$22)+SUM('[3]117407'!$J$22:$M$22)+SUM('[4]117407'!$J$22:$M$22)+SUM('[1]117407'!$J$23:$M$23)</f>
        <v>27</v>
      </c>
      <c r="N29" s="157">
        <f>SUM('[2]117318'!$J$39:$M$39)+SUM('[3]117318'!$J$39:$M$39)+SUM('[4]117318'!$J$39:$M$39)+SUM('[1]117318'!$J$40:$M$40)+SUM('[2]117401'!$J$39:$M$39)+SUM('[3]117401'!$J$39:$M$39)+SUM('[4]117401'!$J$39:$M$39)+SUM('[1]117401'!$J$40:$M$40)+SUM('[2]117403'!$J$39:$M$39)+SUM('[3]117403'!$J$39:$M$39)+SUM('[4]117403'!$J$39:$M$39)+SUM('[1]117403'!$J$40:$M$40) + SUM('[2]117406'!$J$39:$M$39)+SUM('[3]117406'!$J$39:$M$39)+SUM('[4]117406'!$J$39:$M$39)+SUM('[1]117406'!$J$40:$M$40) + SUM('[2]117407'!$J$39:$M$39)+SUM('[3]117407'!$J$39:$M$39)+SUM('[4]117407'!$J$39:$M$39)+SUM('[1]117407'!$J$40:$M$40)</f>
        <v>0</v>
      </c>
      <c r="P29" s="157">
        <f t="shared" si="2"/>
        <v>27</v>
      </c>
      <c r="S29" s="188">
        <f>SUM('[2]117318'!$J$22:$M$22)+SUM('[3]117318'!$J$22:$M$22)+SUM('[4]117318'!$J$22:$M$22)+SUM('[1]117318'!$J$23:$M$23)+SUM('[2]117401'!$J$22:$M$22)+SUM('[3]117401'!$J$22:$M$22)+SUM('[4]117401'!$J$22:$M$22)+SUM('[1]117401'!$J$23:$M$23)+SUM('[2]117403'!$J$22:$M$22)+SUM('[3]117403'!$J$22:$M$22)+SUM('[4]117403'!$J$22:$M$22)+SUM('[1]117403'!$J$23:$M$23) + SUM('[2]117406'!$J$22:$M$22)+SUM('[3]117406'!$J$22:$M$22)+SUM('[4]117406'!$J$22:$M$22)+SUM('[1]117406'!$J$23:$M$23) + SUM('[2]117407'!$J$22:$M$22)+SUM('[3]117407'!$J$22:$M$22)+SUM('[4]117407'!$J$22:$M$22)+SUM('[1]117407'!$J$23:$M$23)-(SUM('[2]117318'!$J$39:$M$39)+SUM('[3]117318'!$J$39:$M$39)+SUM('[4]117318'!$J$39:$M$39)+SUM('[1]117318'!$J$40:$M$40)+SUM('[2]117401'!$J$39:$M$39)+SUM('[3]117401'!$J$39:$M$39)+SUM('[4]117401'!$J$39:$M$39)+SUM('[1]117401'!$J$40:$M$40)+SUM('[2]117403'!$J$39:$M$39)+SUM('[3]117403'!$J$39:$M$39)+SUM('[4]117403'!$J$39:$M$39)+SUM('[1]117403'!$J$40:$M$40) + SUM('[2]117406'!$J$39:$M$39)+SUM('[3]117406'!$J$39:$M$39)+SUM('[4]117406'!$J$39:$M$39)+SUM('[1]117406'!$J$40:$M$40) + SUM('[2]117407'!$J$39:$M$39)+SUM('[3]117407'!$J$39:$M$39)+SUM('[4]117407'!$J$39:$M$39)+SUM('[1]117407'!$J$40:$M$40))</f>
        <v>27</v>
      </c>
    </row>
    <row r="30" spans="1:19" x14ac:dyDescent="0.25">
      <c r="A30" s="46" t="s">
        <v>24</v>
      </c>
      <c r="B30" s="46" t="s">
        <v>67</v>
      </c>
      <c r="C30" s="45"/>
      <c r="D30" s="21">
        <v>0.9</v>
      </c>
      <c r="E30" s="140"/>
      <c r="F30" s="188"/>
      <c r="G30" s="142">
        <f t="shared" si="5"/>
        <v>1</v>
      </c>
      <c r="H30" s="143">
        <f t="shared" si="6"/>
        <v>0</v>
      </c>
      <c r="L30" s="157">
        <f>SUM('[2]117325'!$J$22:$M$22)+SUM('[3]117325'!$J$22:$M$22)+SUM('[4]117325'!$J$22:$M$22)+SUM('[1]117325'!$J$23:$M$23)</f>
        <v>3</v>
      </c>
      <c r="N30" s="157">
        <f>SUM('[2]117325'!$J$39:$M$39)+SUM('[3]117325'!$J$39:$M$39)+SUM('[4]117325'!$J$39:$M$39)+SUM('[1]117325'!$J$40:$M$40)</f>
        <v>0</v>
      </c>
      <c r="P30" s="157">
        <f t="shared" si="2"/>
        <v>3</v>
      </c>
      <c r="S30" s="188">
        <f>SUM('[2]117325'!$J$22:$M$22)+SUM('[3]117325'!$J$22:$M$22)+SUM('[4]117325'!$J$22:$M$22)+SUM('[1]117325'!$J$23:$M$23)-(SUM('[2]117325'!$J$39:$M$39)+SUM('[3]117325'!$J$39:$M$39)+SUM('[4]117325'!$J$39:$M$39)+SUM('[1]117325'!$J$40:$M$40))</f>
        <v>3</v>
      </c>
    </row>
    <row r="31" spans="1:19" x14ac:dyDescent="0.25">
      <c r="A31" s="46" t="s">
        <v>41</v>
      </c>
      <c r="B31" s="46" t="s">
        <v>67</v>
      </c>
      <c r="C31" s="45"/>
      <c r="D31" s="21">
        <v>0.9</v>
      </c>
      <c r="E31" s="140"/>
      <c r="F31" s="188"/>
      <c r="G31" s="142">
        <f t="shared" si="5"/>
        <v>1</v>
      </c>
      <c r="H31" s="143">
        <f t="shared" si="6"/>
        <v>0</v>
      </c>
      <c r="L31" s="157">
        <f>SUM('[2]117313'!$J$22:$M$22)+SUM('[3]117313'!$J$22:$M$22)+SUM('[4]117313'!$J$22:$M$22)+SUM('[1]117313'!$J$23:$M$23)+SUM('[2]117418'!$J$22:$M$22)+SUM('[3]117418'!$J$22:$M$22)+SUM('[4]117418'!$J$22:$M$22)+SUM('[1]117418'!$J$23:$M$23)+SUM('[2]117419'!$J$22:$M$22)+SUM('[3]117419'!$J$22:$M$22)+SUM('[4]117419'!$J$22:$M$22)+SUM('[1]117419'!$J$23:$M$23) + SUM('[2]117422'!$J$22:$M$22)+SUM('[3]117422'!$J$22:$M$22)+SUM('[4]117422'!$J$22:$M$22)+SUM('[1]117422'!$J$23:$M$23) + SUM('[2]117464'!$J$22:$M$22)+SUM('[3]117464'!$J$22:$M$22)+SUM('[4]117464'!$J$22:$M$22)+SUM('[1]117464'!$J$23:$M$23) + SUM('[2]117468'!$J$22:$M$22)+SUM('[3]117468'!$J$22:$M$22)+SUM('[4]117468'!$J$22:$M$22)+SUM('[1]117468'!$J$23:$M$23)</f>
        <v>16</v>
      </c>
      <c r="N31" s="157">
        <f>SUM('[2]117313'!$J$39:$M$39)+SUM('[3]117313'!$J$39:$M$39)+SUM('[4]117313'!$J$39:$M$39)+SUM('[1]117313'!$J$40:$M$40)+SUM('[2]117418'!$J$39:$M$39)+SUM('[3]117418'!$J$39:$M$39)+SUM('[4]117418'!$J$39:$M$39)+SUM('[1]117418'!$J$40:$M$40)+SUM('[2]117419'!$J$39:$M$39)+SUM('[3]117419'!$J$39:$M$39)+SUM('[4]117419'!$J$39:$M$39)+SUM('[1]117419'!$J$40:$M$40) + SUM('[2]117422'!$J$39:$M$39)+SUM('[3]117422'!$J$39:$M$39)+SUM('[4]117422'!$J$39:$M$39)+SUM('[1]117422'!$J$40:$M$40) + SUM('[2]117464'!$J$39:$M$39)+SUM('[3]117464'!$J$39:$M$39)+SUM('[4]117464'!$J$39:$M$39)+SUM('[1]117464'!$J$40:$M$40) + SUM('[2]117468'!$J$39:$M$39)+SUM('[3]117468'!$J$39:$M$39)+SUM('[4]117468'!$J$39:$M$39)+SUM('[1]117468'!$J$40:$M$40)</f>
        <v>0</v>
      </c>
      <c r="P31" s="157">
        <f t="shared" si="2"/>
        <v>16</v>
      </c>
      <c r="S31" s="188">
        <f>SUM('[2]117313'!$J$22:$M$22)+SUM('[3]117313'!$J$22:$M$22)+SUM('[4]117313'!$J$22:$M$22)+SUM('[1]117313'!$J$23:$M$23)+SUM('[2]117418'!$J$22:$M$22)+SUM('[3]117418'!$J$22:$M$22)+SUM('[4]117418'!$J$22:$M$22)+SUM('[1]117418'!$J$23:$M$23)+SUM('[2]117419'!$J$22:$M$22)+SUM('[3]117419'!$J$22:$M$22)+SUM('[4]117419'!$J$22:$M$22)+SUM('[1]117419'!$J$23:$M$23) + SUM('[2]117422'!$J$22:$M$22)+SUM('[3]117422'!$J$22:$M$22)+SUM('[4]117422'!$J$22:$M$22)+SUM('[1]117422'!$J$23:$M$23) + SUM('[2]117464'!$J$22:$M$22)+SUM('[3]117464'!$J$22:$M$22)+SUM('[4]117464'!$J$22:$M$22)+SUM('[1]117464'!$J$23:$M$23) + SUM('[2]117468'!$J$22:$M$22)+SUM('[3]117468'!$J$22:$M$22)+SUM('[4]117468'!$J$22:$M$22)+SUM('[1]117468'!$J$23:$M$23)-(SUM('[2]117313'!$J$39:$M$39)+SUM('[3]117313'!$J$39:$M$39)+SUM('[4]117313'!$J$39:$M$39)+SUM('[1]117313'!$J$40:$M$40)+SUM('[2]117418'!$J$39:$M$39)+SUM('[3]117418'!$J$39:$M$39)+SUM('[4]117418'!$J$39:$M$39)+SUM('[1]117418'!$J$40:$M$40)+SUM('[2]117419'!$J$39:$M$39)+SUM('[3]117419'!$J$39:$M$39)+SUM('[4]117419'!$J$39:$M$39)+SUM('[1]117419'!$J$40:$M$40) + SUM('[2]117422'!$J$39:$M$39)+SUM('[3]117422'!$J$39:$M$39)+SUM('[4]117422'!$J$39:$M$39)+SUM('[1]117422'!$J$40:$M$40) + SUM('[2]117464'!$J$39:$M$39)+SUM('[3]117464'!$J$39:$M$39)+SUM('[4]117464'!$J$39:$M$39)+SUM('[1]117464'!$J$40:$M$40) + SUM('[2]117468'!$J$39:$M$39)+SUM('[3]117468'!$J$39:$M$39)+SUM('[4]117468'!$J$39:$M$39)+SUM('[1]117468'!$J$40:$M$40))</f>
        <v>16</v>
      </c>
    </row>
    <row r="32" spans="1:19" x14ac:dyDescent="0.25">
      <c r="A32" s="46" t="s">
        <v>45</v>
      </c>
      <c r="B32" s="46" t="s">
        <v>67</v>
      </c>
      <c r="C32" s="45"/>
      <c r="D32" s="21">
        <v>0.9</v>
      </c>
      <c r="E32" s="140"/>
      <c r="F32" s="188"/>
      <c r="G32" s="142">
        <f t="shared" si="5"/>
        <v>1</v>
      </c>
      <c r="H32" s="143">
        <f t="shared" si="6"/>
        <v>0</v>
      </c>
      <c r="L32" s="157">
        <f>SUM('[2]117311'!$J$22:$M$22)+SUM('[3]117311'!$J$22:$M$22)+SUM('[4]117311'!$J$22:$M$22)+SUM('[1]117311'!$J$23:$M$23)+SUM('[2]117415'!$J$22:$M$22)+SUM('[3]117415'!$J$22:$M$22)+SUM('[4]117415'!$J$22:$M$22)+SUM('[1]117415'!$J$23:$M$23)+SUM('[2]117416'!$J$22:$M$22)+SUM('[3]117416'!$J$22:$M$22)+SUM('[4]117416'!$J$22:$M$22)+SUM('[1]117416'!$J$23:$M$23) + SUM('[2]117421'!$J$22:$M$22)+SUM('[3]117421'!$J$22:$M$22)+SUM('[4]117421'!$J$22:$M$22)+SUM('[1]117421'!$J$23:$M$23) + SUM('[2]117423'!$J$22:$M$22)+SUM('[3]117423'!$J$22:$M$22)+SUM('[4]117423'!$J$22:$M$22)+SUM('[1]117423'!$J$23:$M$23) + SUM('[2]117461'!$J$22:$M$22)+SUM('[3]117461'!$J$22:$M$22)+SUM('[4]117461'!$J$22:$M$22)+SUM('[1]117461'!$J$23:$M$23) + SUM('[2]117462'!$J$22:$M$22)+SUM('[3]117462'!$J$22:$M$22)+SUM('[4]117462'!$J$22:$M$22)+SUM('[1]117462'!$J$23:$M$23)</f>
        <v>8</v>
      </c>
      <c r="N32" s="157">
        <f>SUM('[2]117311'!$J$39:$M$39)+SUM('[3]117311'!$J$39:$M$39)+SUM('[4]117311'!$J$39:$M$39)+SUM('[1]117311'!$J$40:$M$40)+SUM('[2]117415'!$J$39:$M$39)+SUM('[3]117415'!$J$39:$M$39)+SUM('[4]117415'!$J$39:$M$39)+SUM('[1]117415'!$J$40:$M$40)+SUM('[2]117416'!$J$39:$M$39)+SUM('[3]117416'!$J$39:$M$39)+SUM('[4]117416'!$J$39:$M$39)+SUM('[1]117416'!$J$40:$M$40) + SUM('[2]117421'!$J$39:$M$39)+SUM('[3]117421'!$J$39:$M$39)+SUM('[4]117421'!$J$39:$M$39)+SUM('[1]117421'!$J$40:$M$40) + SUM('[2]117423'!$J$39:$M$39)+SUM('[3]117423'!$J$39:$M$39)+SUM('[4]117423'!$J$39:$M$39)+SUM('[1]117423'!$J$40:$M$40) + SUM('[2]117461'!$J$39:$M$39)+SUM('[3]117461'!$J$39:$M$39)+SUM('[4]117461'!$J$39:$M$39)+SUM('[1]117461'!$J$40:$M$40) + SUM('[2]117462'!$J$39:$M$39)+SUM('[3]117462'!$J$39:$M$39)+SUM('[4]117462'!$J$39:$M$39)+SUM('[1]117462'!$J$40:$M$40)</f>
        <v>1</v>
      </c>
      <c r="P32" s="157">
        <f t="shared" si="2"/>
        <v>7</v>
      </c>
      <c r="S32" s="157">
        <f>SUM('[2]117311'!$J$22:$M$22)+SUM('[3]117311'!$J$22:$M$22)+SUM('[4]117311'!$J$22:$M$22)+SUM('[1]117311'!$J$23:$M$23)+SUM('[2]117415'!$J$22:$M$22)+SUM('[3]117415'!$J$22:$M$22)+SUM('[4]117415'!$J$22:$M$22)+SUM('[1]117415'!$J$23:$M$23)+SUM('[2]117416'!$J$22:$M$22)+SUM('[3]117416'!$J$22:$M$22)+SUM('[4]117416'!$J$22:$M$22)+SUM('[1]117416'!$J$23:$M$23) + SUM('[2]117421'!$J$22:$M$22)+SUM('[3]117421'!$J$22:$M$22)+SUM('[4]117421'!$J$22:$M$22)+SUM('[1]117421'!$J$23:$M$23) + SUM('[2]117423'!$J$22:$M$22)+SUM('[3]117423'!$J$22:$M$22)+SUM('[4]117423'!$J$22:$M$22)+SUM('[1]117423'!$J$23:$M$23) + SUM('[2]117461'!$J$22:$M$22)+SUM('[3]117461'!$J$22:$M$22)+SUM('[4]117461'!$J$22:$M$22)+SUM('[1]117461'!$J$23:$M$23) + SUM('[2]117462'!$J$22:$M$22)+SUM('[3]117462'!$J$22:$M$22)+SUM('[4]117462'!$J$22:$M$22)+SUM('[1]117462'!$J$23:$M$23)-(SUM('[2]117311'!$J$39:$M$39)+SUM('[3]117311'!$J$39:$M$39)+SUM('[4]117311'!$J$39:$M$39)+SUM('[1]117311'!$J$40:$M$40)+SUM('[2]117415'!$J$39:$M$39)+SUM('[3]117415'!$J$39:$M$39)+SUM('[4]117415'!$J$39:$M$39)+SUM('[1]117415'!$J$40:$M$40)+SUM('[2]117416'!$J$39:$M$39)+SUM('[3]117416'!$J$39:$M$39)+SUM('[4]117416'!$J$39:$M$39)+SUM('[1]117416'!$J$40:$M$40) + SUM('[2]117421'!$J$39:$M$39)+SUM('[3]117421'!$J$39:$M$39)+SUM('[4]117421'!$J$39:$M$39)+SUM('[1]117421'!$J$40:$M$40) + SUM('[2]117423'!$J$39:$M$39)+SUM('[3]117423'!$J$39:$M$39)+SUM('[4]117423'!$J$39:$M$39)+SUM('[1]117423'!$J$40:$M$40) + SUM('[2]117461'!$J$39:$M$39)+SUM('[3]117461'!$J$39:$M$39)+SUM('[4]117461'!$J$39:$M$39)+SUM('[1]117461'!$J$40:$M$40) + SUM('[2]117462'!$J$39:$M$39))</f>
        <v>7</v>
      </c>
    </row>
    <row r="33" spans="1:19" x14ac:dyDescent="0.25">
      <c r="A33" s="46" t="s">
        <v>46</v>
      </c>
      <c r="B33" s="46" t="s">
        <v>67</v>
      </c>
      <c r="C33" s="45"/>
      <c r="D33" s="21">
        <v>0.9</v>
      </c>
      <c r="E33" s="140"/>
      <c r="F33" s="188"/>
      <c r="G33" s="142">
        <f t="shared" si="5"/>
        <v>1</v>
      </c>
      <c r="H33" s="143">
        <f t="shared" si="6"/>
        <v>0</v>
      </c>
      <c r="L33" s="157">
        <f>SUM('[2]117329'!$J$22:$M$22)+SUM('[3]117329'!$J$22:$M$22)+SUM('[4]117329'!$J$22:$M$22)+SUM('[1]117329'!$J$23:$M$23) + SUM('[2]117729'!$J$22:$M$22)+SUM('[3]117729'!$J$22:$M$22)+SUM('[4]117729'!$J$22:$M$22)+SUM('[1]117729'!$J$23:$M$23)</f>
        <v>12</v>
      </c>
      <c r="N33" s="157">
        <f>SUM('[2]117329'!$J$39:$M$39)+SUM('[3]117329'!$J$39:$M$39)+SUM('[4]117329'!$J$39:$M$39)+SUM('[1]117329'!$J$40:$M$40) + SUM('[2]117729'!$J$39:$M$39)+SUM('[3]117729'!$J$39:$M$39)+SUM('[4]117729'!$J$39:$M$39)+SUM('[1]117729'!$J$40:$M$40)</f>
        <v>0</v>
      </c>
      <c r="P33" s="157">
        <f t="shared" si="2"/>
        <v>12</v>
      </c>
      <c r="S33" s="188">
        <f>SUM('[2]117329'!$J$22:$M$22)+SUM('[3]117329'!$J$22:$M$22)+SUM('[4]117329'!$J$22:$M$22)+SUM('[1]117329'!$J$23:$M$23) + SUM('[2]117729'!$J$22:$M$22)+SUM('[3]117729'!$J$22:$M$22)+SUM('[4]117729'!$J$22:$M$22)+SUM('[1]117729'!$J$23:$M$23)-(SUM('[2]117329'!$J$39:$M$39)+SUM('[3]117329'!$J$39:$M$39)+SUM('[4]117329'!$J$39:$M$39)+SUM('[1]117329'!$J$40:$M$40) + SUM('[2]117729'!$J$39:$M$39)+SUM('[3]117729'!$J$39:$M$39)+SUM('[4]117729'!$J$39:$M$39)+SUM('[1]117729'!$J$40:$M$40))</f>
        <v>12</v>
      </c>
    </row>
    <row r="34" spans="1:19" x14ac:dyDescent="0.25">
      <c r="A34" s="46" t="s">
        <v>47</v>
      </c>
      <c r="B34" s="46" t="s">
        <v>67</v>
      </c>
      <c r="C34" s="45"/>
      <c r="D34" s="21">
        <v>0.9</v>
      </c>
      <c r="E34" s="140"/>
      <c r="F34" s="188"/>
      <c r="G34" s="142">
        <f t="shared" si="5"/>
        <v>1</v>
      </c>
      <c r="H34" s="143">
        <f t="shared" si="6"/>
        <v>0</v>
      </c>
      <c r="L34" s="157">
        <f>SUM('[2]117309'!$J$22:$M$22)+SUM('[3]117309'!$J$22:$M$22)+SUM('[4]117309'!$J$22:$M$22)+SUM('[1]117309'!$J$23:$M$23) + SUM('[2]117467'!$J$22:$M$22)+SUM('[3]117467'!$J$22:$M$22)+SUM('[4]117467'!$J$22:$M$22)+SUM('[1]117467'!$J$23:$M$23) + SUM('[2]117470'!$J$22:$M$22)+SUM('[3]117470'!$J$22:$M$22)+SUM('[4]117470'!$J$22:$M$22)+SUM('[1]117470'!$J$23:$M$23)</f>
        <v>2</v>
      </c>
      <c r="N34" s="157">
        <f>SUM('[2]117309'!$J$39:$M$39)+SUM('[3]117309'!$J$39:$M$39)+SUM('[4]117309'!$J$39:$M$39)+SUM('[1]117309'!$J$40:$M$40) + SUM('[2]117467'!$J$39:$M$39)+SUM('[3]117467'!$J$39:$M$39)+SUM('[4]117467'!$J$39:$M$39)+SUM('[1]117467'!$J$40:$M$40) + SUM('[2]117470'!$J$39:$M$39)+SUM('[3]117470'!$J$39:$M$39)+SUM('[4]117470'!$J$39:$M$39)+SUM('[1]117470'!$J$40:$M$40)</f>
        <v>0</v>
      </c>
      <c r="P34" s="157">
        <f t="shared" si="2"/>
        <v>2</v>
      </c>
      <c r="S34" s="188">
        <f>SUM('[2]117309'!$J$22:$M$22)+SUM('[3]117309'!$J$22:$M$22)+SUM('[4]117309'!$J$22:$M$22)+SUM('[1]117309'!$J$23:$M$23) + SUM('[2]117467'!$J$22:$M$22)+SUM('[3]117467'!$J$22:$M$22)+SUM('[4]117467'!$J$22:$M$22)+SUM('[1]117467'!$J$23:$M$23) + SUM('[2]117470'!$J$22:$M$22)+SUM('[3]117470'!$J$22:$M$22)+SUM('[4]117470'!$J$22:$M$22)+SUM('[1]117470'!$J$23:$M$23)-(SUM('[2]117309'!$J$39:$M$39)+SUM('[3]117309'!$J$39:$M$39)+SUM('[4]117309'!$J$39:$M$39)+SUM('[1]117309'!$J$40:$M$40) + SUM('[2]117467'!$J$39:$M$39)+SUM('[3]117467'!$J$39:$M$39)+SUM('[4]117467'!$J$39:$M$39)+SUM('[1]117467'!$J$40:$M$40) + SUM('[2]117470'!$J$39:$M$39)+SUM('[3]117470'!$J$39:$M$39)+SUM('[4]117470'!$J$39:$M$39)+SUM('[1]117470'!$J$40:$M$40))</f>
        <v>2</v>
      </c>
    </row>
    <row r="35" spans="1:19" x14ac:dyDescent="0.25">
      <c r="A35" s="46" t="s">
        <v>35</v>
      </c>
      <c r="B35" s="46" t="s">
        <v>67</v>
      </c>
      <c r="C35" s="45"/>
      <c r="D35" s="21">
        <v>0.9</v>
      </c>
      <c r="E35" s="140"/>
      <c r="F35" s="188"/>
      <c r="G35" s="142">
        <f t="shared" si="5"/>
        <v>1</v>
      </c>
      <c r="H35" s="143">
        <f t="shared" si="6"/>
        <v>0</v>
      </c>
      <c r="L35" s="157">
        <f>SUM('[2]117312'!$J$22:$M$22)+SUM('[3]117312'!$J$22:$M$22)+SUM('[4]117312'!$J$22:$M$22)+SUM('[1]117312'!$J$23:$M$23) + SUM('[2]117471'!$J$22:$M$22)+SUM('[3]117471'!$J$22:$M$22)+SUM('[4]117471'!$J$22:$M$22)+SUM('[1]117471'!$J$23:$M$23)</f>
        <v>20</v>
      </c>
      <c r="N35" s="157">
        <f>SUM('[2]117312'!$J$39:$M$39)+SUM('[3]117312'!$J$39:$M$39)+SUM('[4]117312'!$J$39:$M$39)+SUM('[1]117312'!$J$40:$M$40) + SUM('[2]117471'!$J$39:$M$39)+SUM('[3]117471'!$J$39:$M$39)+SUM('[4]117471'!$J$39:$M$39)+SUM('[1]117471'!$J$40:$M$40)</f>
        <v>1</v>
      </c>
      <c r="P35" s="157">
        <f t="shared" si="2"/>
        <v>19</v>
      </c>
      <c r="S35" s="188">
        <f>SUM('[2]117312'!$J$22:$M$22)+SUM('[3]117312'!$J$22:$M$22)+SUM('[4]117312'!$J$22:$M$22)+SUM('[1]117312'!$J$23:$M$23) + SUM('[2]117471'!$J$22:$M$22)+SUM('[3]117471'!$J$22:$M$22)+SUM('[4]117471'!$J$22:$M$22)+SUM('[1]117471'!$J$23:$M$23)-(SUM('[2]117312'!$J$39:$M$39)+SUM('[3]117312'!$J$39:$M$39)+SUM('[4]117312'!$J$39:$M$39)+SUM('[1]117312'!$J$40:$M$40) + SUM('[2]117471'!$J$39:$M$39)+SUM('[3]117471'!$J$39:$M$39)+SUM('[4]117471'!$J$39:$M$39)+SUM('[1]117471'!$J$40:$M$40))</f>
        <v>19</v>
      </c>
    </row>
    <row r="36" spans="1:19" x14ac:dyDescent="0.25">
      <c r="A36" s="40"/>
      <c r="B36" s="36" t="s">
        <v>67</v>
      </c>
      <c r="C36" s="28"/>
      <c r="D36" s="60" t="s">
        <v>67</v>
      </c>
      <c r="E36" s="87">
        <f>SUM(E29:E35)</f>
        <v>0</v>
      </c>
      <c r="F36" s="87">
        <f>SUM(F29:F35)</f>
        <v>0</v>
      </c>
      <c r="G36" s="35" t="str">
        <f>IFERROR(E36/F36,"")</f>
        <v/>
      </c>
      <c r="H36" s="39"/>
      <c r="L36" s="87">
        <f>SUM(L29:L35)</f>
        <v>88</v>
      </c>
      <c r="N36" s="87">
        <f>SUM(N29:N35)</f>
        <v>2</v>
      </c>
      <c r="P36" s="87">
        <f t="shared" si="2"/>
        <v>86</v>
      </c>
      <c r="S36" s="87">
        <f>SUM(S29:S35)</f>
        <v>86</v>
      </c>
    </row>
    <row r="37" spans="1:19" x14ac:dyDescent="0.25">
      <c r="A37" s="30"/>
      <c r="B37" s="29" t="s">
        <v>66</v>
      </c>
      <c r="C37" s="28"/>
      <c r="D37" s="21" t="s">
        <v>65</v>
      </c>
      <c r="E37" s="89">
        <f>E20+E28+E36</f>
        <v>0</v>
      </c>
      <c r="F37" s="89">
        <f>F20+F28+F36</f>
        <v>0</v>
      </c>
      <c r="G37" s="21" t="str">
        <f>IFERROR(E37/F37,"")</f>
        <v/>
      </c>
      <c r="H37" s="27"/>
      <c r="L37" s="89">
        <f>L20+L28+L36</f>
        <v>234</v>
      </c>
      <c r="N37" s="89">
        <f>N20+N28+N36</f>
        <v>5</v>
      </c>
      <c r="P37" s="89">
        <f t="shared" si="2"/>
        <v>229</v>
      </c>
      <c r="S37" s="190">
        <f>S20+S28+S36</f>
        <v>229</v>
      </c>
    </row>
  </sheetData>
  <mergeCells count="1">
    <mergeCell ref="E1:H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37"/>
  <sheetViews>
    <sheetView workbookViewId="0">
      <selection activeCell="F23" sqref="F23"/>
    </sheetView>
  </sheetViews>
  <sheetFormatPr baseColWidth="10" defaultRowHeight="15" x14ac:dyDescent="0.25"/>
  <cols>
    <col min="2" max="2" width="33.42578125" bestFit="1" customWidth="1"/>
    <col min="4" max="4" width="16.7109375" customWidth="1"/>
    <col min="5" max="5" width="21.85546875" customWidth="1"/>
  </cols>
  <sheetData>
    <row r="2" spans="2:5" ht="15.75" x14ac:dyDescent="0.25">
      <c r="B2" s="139" t="s">
        <v>259</v>
      </c>
      <c r="C2" s="232"/>
      <c r="D2" s="233"/>
      <c r="E2" s="234"/>
    </row>
    <row r="3" spans="2:5" ht="36" x14ac:dyDescent="0.25">
      <c r="B3" s="80" t="s">
        <v>77</v>
      </c>
      <c r="C3" s="80" t="s">
        <v>76</v>
      </c>
      <c r="D3" s="81" t="s">
        <v>98</v>
      </c>
      <c r="E3" s="75" t="s">
        <v>70</v>
      </c>
    </row>
    <row r="4" spans="2:5" x14ac:dyDescent="0.25">
      <c r="B4" s="46" t="s">
        <v>32</v>
      </c>
      <c r="C4" s="46" t="s">
        <v>69</v>
      </c>
      <c r="D4" s="176">
        <v>0.96555464222217768</v>
      </c>
      <c r="E4" s="41" t="s">
        <v>262</v>
      </c>
    </row>
    <row r="5" spans="2:5" x14ac:dyDescent="0.25">
      <c r="B5" s="46" t="s">
        <v>6</v>
      </c>
      <c r="C5" s="46" t="s">
        <v>69</v>
      </c>
      <c r="D5" s="176">
        <v>0.97985405148326488</v>
      </c>
      <c r="E5" s="41" t="s">
        <v>262</v>
      </c>
    </row>
    <row r="6" spans="2:5" x14ac:dyDescent="0.25">
      <c r="B6" s="46" t="s">
        <v>7</v>
      </c>
      <c r="C6" s="46" t="s">
        <v>69</v>
      </c>
      <c r="D6" s="176">
        <v>0.91068161390254065</v>
      </c>
      <c r="E6" s="41" t="s">
        <v>262</v>
      </c>
    </row>
    <row r="7" spans="2:5" x14ac:dyDescent="0.25">
      <c r="B7" s="46" t="s">
        <v>40</v>
      </c>
      <c r="C7" s="46" t="s">
        <v>69</v>
      </c>
      <c r="D7" s="176">
        <v>0.97663728825662521</v>
      </c>
      <c r="E7" s="41" t="s">
        <v>262</v>
      </c>
    </row>
    <row r="8" spans="2:5" x14ac:dyDescent="0.25">
      <c r="B8" s="46" t="s">
        <v>8</v>
      </c>
      <c r="C8" s="46" t="s">
        <v>69</v>
      </c>
      <c r="D8" s="176">
        <v>0.99243473101265822</v>
      </c>
      <c r="E8" s="41" t="s">
        <v>262</v>
      </c>
    </row>
    <row r="9" spans="2:5" x14ac:dyDescent="0.25">
      <c r="B9" s="46" t="s">
        <v>25</v>
      </c>
      <c r="C9" s="46" t="s">
        <v>69</v>
      </c>
      <c r="D9" s="176">
        <v>0.9749377117101985</v>
      </c>
      <c r="E9" s="41" t="s">
        <v>262</v>
      </c>
    </row>
    <row r="10" spans="2:5" x14ac:dyDescent="0.25">
      <c r="B10" s="46" t="s">
        <v>50</v>
      </c>
      <c r="C10" s="46" t="s">
        <v>69</v>
      </c>
      <c r="D10" s="176">
        <v>0.95796393450927453</v>
      </c>
      <c r="E10" s="41" t="s">
        <v>262</v>
      </c>
    </row>
    <row r="11" spans="2:5" x14ac:dyDescent="0.25">
      <c r="B11" s="46" t="s">
        <v>51</v>
      </c>
      <c r="C11" s="46" t="s">
        <v>69</v>
      </c>
      <c r="D11" s="176">
        <v>0.99308986066955707</v>
      </c>
      <c r="E11" s="41" t="s">
        <v>262</v>
      </c>
    </row>
    <row r="12" spans="2:5" x14ac:dyDescent="0.25">
      <c r="B12" s="46" t="s">
        <v>52</v>
      </c>
      <c r="C12" s="46" t="s">
        <v>69</v>
      </c>
      <c r="D12" s="176">
        <v>0.875</v>
      </c>
      <c r="E12" s="41" t="s">
        <v>263</v>
      </c>
    </row>
    <row r="13" spans="2:5" x14ac:dyDescent="0.25">
      <c r="B13" s="46" t="s">
        <v>34</v>
      </c>
      <c r="C13" s="46" t="s">
        <v>69</v>
      </c>
      <c r="D13" s="176">
        <v>0.98921046974094384</v>
      </c>
      <c r="E13" s="41" t="s">
        <v>262</v>
      </c>
    </row>
    <row r="14" spans="2:5" x14ac:dyDescent="0.25">
      <c r="B14" s="46" t="s">
        <v>42</v>
      </c>
      <c r="C14" s="46" t="s">
        <v>69</v>
      </c>
      <c r="D14" s="176">
        <v>0.93072162863703101</v>
      </c>
      <c r="E14" s="41" t="s">
        <v>262</v>
      </c>
    </row>
    <row r="15" spans="2:5" x14ac:dyDescent="0.25">
      <c r="B15" s="46" t="s">
        <v>44</v>
      </c>
      <c r="C15" s="46" t="s">
        <v>69</v>
      </c>
      <c r="D15" s="176">
        <v>0.88162164358679751</v>
      </c>
      <c r="E15" s="41" t="s">
        <v>263</v>
      </c>
    </row>
    <row r="16" spans="2:5" x14ac:dyDescent="0.25">
      <c r="B16" s="46" t="s">
        <v>48</v>
      </c>
      <c r="C16" s="46" t="s">
        <v>69</v>
      </c>
      <c r="D16" s="176">
        <v>0.98788236543367414</v>
      </c>
      <c r="E16" s="41" t="s">
        <v>262</v>
      </c>
    </row>
    <row r="17" spans="2:5" x14ac:dyDescent="0.25">
      <c r="B17" s="46" t="s">
        <v>49</v>
      </c>
      <c r="C17" s="46" t="s">
        <v>69</v>
      </c>
      <c r="D17" s="176">
        <v>0.96022859347550504</v>
      </c>
      <c r="E17" s="41" t="s">
        <v>262</v>
      </c>
    </row>
    <row r="18" spans="2:5" x14ac:dyDescent="0.25">
      <c r="B18" s="46" t="s">
        <v>28</v>
      </c>
      <c r="C18" s="46" t="s">
        <v>69</v>
      </c>
      <c r="D18" s="176">
        <v>0.97318753091088939</v>
      </c>
      <c r="E18" s="41" t="s">
        <v>262</v>
      </c>
    </row>
    <row r="19" spans="2:5" x14ac:dyDescent="0.25">
      <c r="B19" s="46" t="s">
        <v>37</v>
      </c>
      <c r="C19" s="46" t="s">
        <v>69</v>
      </c>
      <c r="D19" s="176">
        <v>0.92022999253203308</v>
      </c>
      <c r="E19" s="41" t="s">
        <v>262</v>
      </c>
    </row>
    <row r="20" spans="2:5" x14ac:dyDescent="0.25">
      <c r="B20" s="46" t="s">
        <v>29</v>
      </c>
      <c r="C20" s="46" t="s">
        <v>69</v>
      </c>
      <c r="D20" s="176">
        <v>0.98848985854624027</v>
      </c>
      <c r="E20" s="41" t="s">
        <v>262</v>
      </c>
    </row>
    <row r="21" spans="2:5" x14ac:dyDescent="0.25">
      <c r="B21" s="40"/>
      <c r="C21" s="36" t="s">
        <v>69</v>
      </c>
      <c r="D21" s="32"/>
      <c r="E21" s="31"/>
    </row>
    <row r="22" spans="2:5" x14ac:dyDescent="0.25">
      <c r="B22" s="46" t="s">
        <v>30</v>
      </c>
      <c r="C22" s="46" t="s">
        <v>68</v>
      </c>
      <c r="D22" s="176">
        <v>0.97062079348211128</v>
      </c>
      <c r="E22" s="41" t="s">
        <v>262</v>
      </c>
    </row>
    <row r="23" spans="2:5" x14ac:dyDescent="0.25">
      <c r="B23" s="46" t="s">
        <v>53</v>
      </c>
      <c r="C23" s="46" t="s">
        <v>68</v>
      </c>
      <c r="D23" s="176">
        <v>0.9</v>
      </c>
      <c r="E23" s="41" t="s">
        <v>262</v>
      </c>
    </row>
    <row r="24" spans="2:5" x14ac:dyDescent="0.25">
      <c r="B24" s="46" t="s">
        <v>33</v>
      </c>
      <c r="C24" s="46" t="s">
        <v>68</v>
      </c>
      <c r="D24" s="176">
        <v>1</v>
      </c>
      <c r="E24" s="41" t="s">
        <v>262</v>
      </c>
    </row>
    <row r="25" spans="2:5" x14ac:dyDescent="0.25">
      <c r="B25" s="46" t="s">
        <v>43</v>
      </c>
      <c r="C25" s="46" t="s">
        <v>68</v>
      </c>
      <c r="D25" s="176">
        <v>0.98962111472283643</v>
      </c>
      <c r="E25" s="41" t="s">
        <v>262</v>
      </c>
    </row>
    <row r="26" spans="2:5" x14ac:dyDescent="0.25">
      <c r="B26" s="46" t="s">
        <v>54</v>
      </c>
      <c r="C26" s="46" t="s">
        <v>68</v>
      </c>
      <c r="D26" s="176">
        <v>0.97159565580618223</v>
      </c>
      <c r="E26" s="41" t="s">
        <v>262</v>
      </c>
    </row>
    <row r="27" spans="2:5" x14ac:dyDescent="0.25">
      <c r="B27" s="46" t="s">
        <v>26</v>
      </c>
      <c r="C27" s="46" t="s">
        <v>68</v>
      </c>
      <c r="D27" s="176">
        <v>0.93182704945626593</v>
      </c>
      <c r="E27" s="41" t="s">
        <v>262</v>
      </c>
    </row>
    <row r="28" spans="2:5" x14ac:dyDescent="0.25">
      <c r="B28" s="46" t="s">
        <v>36</v>
      </c>
      <c r="C28" s="46" t="s">
        <v>68</v>
      </c>
      <c r="D28" s="176">
        <v>0.98535784110812785</v>
      </c>
      <c r="E28" s="41" t="s">
        <v>262</v>
      </c>
    </row>
    <row r="29" spans="2:5" x14ac:dyDescent="0.25">
      <c r="B29" s="40"/>
      <c r="C29" s="36" t="s">
        <v>68</v>
      </c>
      <c r="D29" s="32"/>
      <c r="E29" s="31"/>
    </row>
    <row r="30" spans="2:5" x14ac:dyDescent="0.25">
      <c r="B30" s="46" t="s">
        <v>31</v>
      </c>
      <c r="C30" s="46" t="s">
        <v>67</v>
      </c>
      <c r="D30" s="176">
        <v>0.97733918128654973</v>
      </c>
      <c r="E30" s="41" t="s">
        <v>262</v>
      </c>
    </row>
    <row r="31" spans="2:5" x14ac:dyDescent="0.25">
      <c r="B31" s="46" t="s">
        <v>24</v>
      </c>
      <c r="C31" s="46" t="s">
        <v>67</v>
      </c>
      <c r="D31" s="176">
        <v>1</v>
      </c>
      <c r="E31" s="41" t="s">
        <v>262</v>
      </c>
    </row>
    <row r="32" spans="2:5" x14ac:dyDescent="0.25">
      <c r="B32" s="46" t="s">
        <v>41</v>
      </c>
      <c r="C32" s="46" t="s">
        <v>67</v>
      </c>
      <c r="D32" s="176">
        <v>0.98519853811264857</v>
      </c>
      <c r="E32" s="41" t="s">
        <v>262</v>
      </c>
    </row>
    <row r="33" spans="2:5" x14ac:dyDescent="0.25">
      <c r="B33" s="46" t="s">
        <v>45</v>
      </c>
      <c r="C33" s="46" t="s">
        <v>67</v>
      </c>
      <c r="D33" s="176">
        <v>0.93443620513981651</v>
      </c>
      <c r="E33" s="41" t="s">
        <v>262</v>
      </c>
    </row>
    <row r="34" spans="2:5" x14ac:dyDescent="0.25">
      <c r="B34" s="46" t="s">
        <v>46</v>
      </c>
      <c r="C34" s="46" t="s">
        <v>67</v>
      </c>
      <c r="D34" s="176">
        <v>0.9725433526011561</v>
      </c>
      <c r="E34" s="41" t="s">
        <v>262</v>
      </c>
    </row>
    <row r="35" spans="2:5" x14ac:dyDescent="0.25">
      <c r="B35" s="46" t="s">
        <v>47</v>
      </c>
      <c r="C35" s="46" t="s">
        <v>67</v>
      </c>
      <c r="D35" s="176">
        <v>1</v>
      </c>
      <c r="E35" s="41" t="s">
        <v>262</v>
      </c>
    </row>
    <row r="36" spans="2:5" x14ac:dyDescent="0.25">
      <c r="B36" s="46" t="s">
        <v>35</v>
      </c>
      <c r="C36" s="46" t="s">
        <v>67</v>
      </c>
      <c r="D36" s="176">
        <v>0.93476751337157793</v>
      </c>
      <c r="E36" s="41" t="s">
        <v>262</v>
      </c>
    </row>
    <row r="37" spans="2:5" x14ac:dyDescent="0.25">
      <c r="B37" s="40"/>
      <c r="C37" s="36" t="s">
        <v>67</v>
      </c>
      <c r="D37" s="32"/>
      <c r="E37" s="31"/>
    </row>
  </sheetData>
  <mergeCells count="1">
    <mergeCell ref="C2:E2"/>
  </mergeCells>
  <conditionalFormatting sqref="E4:E20">
    <cfRule type="containsText" dxfId="8" priority="7" operator="containsText" text="Tramo 3: Sin Asig. C. Variable">
      <formula>NOT(ISERROR(SEARCH("Tramo 3: Sin Asig. C. Variable",E4)))</formula>
    </cfRule>
    <cfRule type="containsText" dxfId="7" priority="8" operator="containsText" text="Tramo 2: 50% C. Variable">
      <formula>NOT(ISERROR(SEARCH("Tramo 2: 50% C. Variable",E4)))</formula>
    </cfRule>
    <cfRule type="containsText" dxfId="6" priority="9" operator="containsText" text="Tramo 1: 100% C. Variable">
      <formula>NOT(ISERROR(SEARCH("Tramo 1: 100% C. Variable",E4)))</formula>
    </cfRule>
  </conditionalFormatting>
  <conditionalFormatting sqref="E22:E28">
    <cfRule type="containsText" dxfId="5" priority="4" operator="containsText" text="Tramo 3: Sin Asig. C. Variable">
      <formula>NOT(ISERROR(SEARCH("Tramo 3: Sin Asig. C. Variable",E22)))</formula>
    </cfRule>
    <cfRule type="containsText" dxfId="4" priority="5" operator="containsText" text="Tramo 2: 50% C. Variable">
      <formula>NOT(ISERROR(SEARCH("Tramo 2: 50% C. Variable",E22)))</formula>
    </cfRule>
    <cfRule type="containsText" dxfId="3" priority="6" operator="containsText" text="Tramo 1: 100% C. Variable">
      <formula>NOT(ISERROR(SEARCH("Tramo 1: 100% C. Variable",E22)))</formula>
    </cfRule>
  </conditionalFormatting>
  <conditionalFormatting sqref="E30:E36">
    <cfRule type="containsText" dxfId="2" priority="1" operator="containsText" text="Tramo 3: Sin Asig. C. Variable">
      <formula>NOT(ISERROR(SEARCH("Tramo 3: Sin Asig. C. Variable",E30)))</formula>
    </cfRule>
    <cfRule type="containsText" dxfId="1" priority="2" operator="containsText" text="Tramo 2: 50% C. Variable">
      <formula>NOT(ISERROR(SEARCH("Tramo 2: 50% C. Variable",E30)))</formula>
    </cfRule>
    <cfRule type="containsText" dxfId="0" priority="3" operator="containsText" text="Tramo 1: 100% C. Variable">
      <formula>NOT(ISERROR(SEARCH("Tramo 1: 100% C. Variable",E30)))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K9"/>
  <sheetViews>
    <sheetView workbookViewId="0">
      <selection activeCell="F23" sqref="F23"/>
    </sheetView>
  </sheetViews>
  <sheetFormatPr baseColWidth="10" defaultRowHeight="15" x14ac:dyDescent="0.25"/>
  <sheetData>
    <row r="3" spans="1:11" x14ac:dyDescent="0.25">
      <c r="A3" s="236" t="s">
        <v>6</v>
      </c>
      <c r="B3" s="236"/>
      <c r="C3" s="235" t="s">
        <v>261</v>
      </c>
      <c r="D3" s="235"/>
      <c r="E3" s="235"/>
      <c r="F3" s="235"/>
      <c r="G3" s="235"/>
      <c r="H3" s="235"/>
      <c r="I3" s="235"/>
      <c r="J3" s="235"/>
      <c r="K3" s="235"/>
    </row>
    <row r="4" spans="1:11" x14ac:dyDescent="0.25">
      <c r="A4" s="236"/>
      <c r="B4" s="236"/>
      <c r="C4" s="235"/>
      <c r="D4" s="235"/>
      <c r="E4" s="235"/>
      <c r="F4" s="235"/>
      <c r="G4" s="235"/>
      <c r="H4" s="235"/>
      <c r="I4" s="235"/>
      <c r="J4" s="235"/>
      <c r="K4" s="235"/>
    </row>
    <row r="5" spans="1:11" x14ac:dyDescent="0.25">
      <c r="A5" s="236"/>
      <c r="B5" s="236"/>
      <c r="C5" s="235"/>
      <c r="D5" s="235"/>
      <c r="E5" s="235"/>
      <c r="F5" s="235"/>
      <c r="G5" s="235"/>
      <c r="H5" s="235"/>
      <c r="I5" s="235"/>
      <c r="J5" s="235"/>
      <c r="K5" s="235"/>
    </row>
    <row r="6" spans="1:11" x14ac:dyDescent="0.25">
      <c r="A6" s="235" t="s">
        <v>48</v>
      </c>
      <c r="B6" s="235"/>
      <c r="C6" s="235" t="s">
        <v>260</v>
      </c>
      <c r="D6" s="235"/>
      <c r="E6" s="235"/>
      <c r="F6" s="235"/>
      <c r="G6" s="235"/>
      <c r="H6" s="235"/>
      <c r="I6" s="235"/>
      <c r="J6" s="235"/>
      <c r="K6" s="235"/>
    </row>
    <row r="7" spans="1:11" x14ac:dyDescent="0.25">
      <c r="A7" s="235"/>
      <c r="B7" s="235"/>
      <c r="C7" s="235"/>
      <c r="D7" s="235"/>
      <c r="E7" s="235"/>
      <c r="F7" s="235"/>
      <c r="G7" s="235"/>
      <c r="H7" s="235"/>
      <c r="I7" s="235"/>
      <c r="J7" s="235"/>
      <c r="K7" s="235"/>
    </row>
    <row r="8" spans="1:11" x14ac:dyDescent="0.25">
      <c r="A8" s="235"/>
      <c r="B8" s="235"/>
      <c r="C8" s="235"/>
      <c r="D8" s="235"/>
      <c r="E8" s="235"/>
      <c r="F8" s="235"/>
      <c r="G8" s="235"/>
      <c r="H8" s="235"/>
      <c r="I8" s="235"/>
      <c r="J8" s="235"/>
      <c r="K8" s="235"/>
    </row>
    <row r="9" spans="1:11" x14ac:dyDescent="0.25">
      <c r="A9" s="235"/>
      <c r="B9" s="235"/>
      <c r="C9" s="235"/>
      <c r="D9" s="235"/>
      <c r="E9" s="235"/>
      <c r="F9" s="235"/>
      <c r="G9" s="235"/>
      <c r="H9" s="235"/>
      <c r="I9" s="235"/>
      <c r="J9" s="235"/>
      <c r="K9" s="235"/>
    </row>
  </sheetData>
  <mergeCells count="4">
    <mergeCell ref="C3:K5"/>
    <mergeCell ref="C6:K9"/>
    <mergeCell ref="A3:B5"/>
    <mergeCell ref="A6:B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"/>
  <sheetViews>
    <sheetView zoomScale="190" zoomScaleNormal="190" workbookViewId="0">
      <selection activeCell="B16" sqref="B16"/>
    </sheetView>
  </sheetViews>
  <sheetFormatPr baseColWidth="10" defaultRowHeight="15" x14ac:dyDescent="0.25"/>
  <cols>
    <col min="1" max="1" width="39.28515625" customWidth="1"/>
    <col min="2" max="2" width="24.7109375" customWidth="1"/>
    <col min="3" max="3" width="20.5703125" customWidth="1"/>
  </cols>
  <sheetData>
    <row r="1" spans="1:4" x14ac:dyDescent="0.25">
      <c r="A1" s="237" t="s">
        <v>235</v>
      </c>
      <c r="B1" s="238"/>
      <c r="C1" s="239"/>
    </row>
    <row r="2" spans="1:4" x14ac:dyDescent="0.25">
      <c r="A2" s="154" t="s">
        <v>236</v>
      </c>
      <c r="B2" s="154" t="s">
        <v>237</v>
      </c>
      <c r="C2" s="154" t="s">
        <v>238</v>
      </c>
    </row>
    <row r="3" spans="1:4" x14ac:dyDescent="0.25">
      <c r="A3" s="155" t="s">
        <v>239</v>
      </c>
      <c r="B3" s="153" t="s">
        <v>153</v>
      </c>
      <c r="C3" s="153" t="s">
        <v>240</v>
      </c>
    </row>
    <row r="4" spans="1:4" x14ac:dyDescent="0.25">
      <c r="A4" s="155" t="s">
        <v>257</v>
      </c>
      <c r="B4" s="153" t="s">
        <v>173</v>
      </c>
      <c r="C4" s="153" t="s">
        <v>241</v>
      </c>
    </row>
    <row r="5" spans="1:4" x14ac:dyDescent="0.25">
      <c r="A5" s="155" t="s">
        <v>242</v>
      </c>
      <c r="B5" s="153" t="s">
        <v>193</v>
      </c>
      <c r="C5" s="153" t="s">
        <v>243</v>
      </c>
    </row>
    <row r="6" spans="1:4" x14ac:dyDescent="0.25">
      <c r="A6" s="155" t="s">
        <v>244</v>
      </c>
      <c r="B6" s="153" t="s">
        <v>166</v>
      </c>
      <c r="C6" s="153" t="s">
        <v>245</v>
      </c>
    </row>
    <row r="7" spans="1:4" x14ac:dyDescent="0.25">
      <c r="A7" s="155" t="s">
        <v>246</v>
      </c>
      <c r="B7" s="153" t="s">
        <v>196</v>
      </c>
      <c r="C7" s="153" t="s">
        <v>247</v>
      </c>
      <c r="D7" t="s">
        <v>258</v>
      </c>
    </row>
    <row r="8" spans="1:4" x14ac:dyDescent="0.25">
      <c r="A8" s="155" t="s">
        <v>248</v>
      </c>
      <c r="B8" s="153" t="s">
        <v>196</v>
      </c>
      <c r="C8" s="153" t="s">
        <v>247</v>
      </c>
    </row>
    <row r="9" spans="1:4" x14ac:dyDescent="0.25">
      <c r="A9" s="155" t="s">
        <v>161</v>
      </c>
      <c r="B9" s="153" t="s">
        <v>195</v>
      </c>
      <c r="C9" s="153" t="s">
        <v>249</v>
      </c>
    </row>
    <row r="10" spans="1:4" x14ac:dyDescent="0.25">
      <c r="A10" s="155" t="s">
        <v>250</v>
      </c>
      <c r="B10" s="153" t="s">
        <v>194</v>
      </c>
      <c r="C10" s="153" t="s">
        <v>251</v>
      </c>
    </row>
    <row r="11" spans="1:4" x14ac:dyDescent="0.25">
      <c r="A11" s="155" t="s">
        <v>252</v>
      </c>
      <c r="B11" s="153" t="s">
        <v>253</v>
      </c>
      <c r="C11" s="153" t="s">
        <v>254</v>
      </c>
    </row>
    <row r="12" spans="1:4" x14ac:dyDescent="0.25">
      <c r="A12" s="155" t="s">
        <v>255</v>
      </c>
      <c r="B12" s="153" t="s">
        <v>193</v>
      </c>
      <c r="C12" s="153" t="s">
        <v>256</v>
      </c>
    </row>
  </sheetData>
  <mergeCells count="1">
    <mergeCell ref="A1:C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E16"/>
  <sheetViews>
    <sheetView zoomScale="190" zoomScaleNormal="190" workbookViewId="0">
      <selection activeCell="B1" sqref="B1:E1"/>
    </sheetView>
  </sheetViews>
  <sheetFormatPr baseColWidth="10" defaultRowHeight="15" x14ac:dyDescent="0.25"/>
  <cols>
    <col min="1" max="1" width="4.42578125" customWidth="1"/>
    <col min="2" max="2" width="8.28515625" style="151" customWidth="1"/>
    <col min="3" max="3" width="32.28515625" bestFit="1" customWidth="1"/>
    <col min="4" max="4" width="28.7109375" bestFit="1" customWidth="1"/>
    <col min="5" max="5" width="24.28515625" customWidth="1"/>
  </cols>
  <sheetData>
    <row r="1" spans="2:5" ht="15.75" x14ac:dyDescent="0.25">
      <c r="B1" s="240" t="s">
        <v>203</v>
      </c>
      <c r="C1" s="240"/>
      <c r="D1" s="240"/>
      <c r="E1" s="240"/>
    </row>
    <row r="2" spans="2:5" x14ac:dyDescent="0.25">
      <c r="B2" s="149"/>
      <c r="C2" s="1"/>
      <c r="D2" s="1"/>
      <c r="E2" s="1"/>
    </row>
    <row r="3" spans="2:5" x14ac:dyDescent="0.25">
      <c r="B3" s="146" t="s">
        <v>204</v>
      </c>
      <c r="C3" s="147" t="s">
        <v>205</v>
      </c>
      <c r="D3" s="147" t="s">
        <v>206</v>
      </c>
      <c r="E3" s="147" t="s">
        <v>207</v>
      </c>
    </row>
    <row r="4" spans="2:5" x14ac:dyDescent="0.25">
      <c r="B4" s="146"/>
      <c r="C4" s="147" t="s">
        <v>208</v>
      </c>
      <c r="D4" s="147"/>
      <c r="E4" s="147" t="s">
        <v>209</v>
      </c>
    </row>
    <row r="5" spans="2:5" x14ac:dyDescent="0.25">
      <c r="B5" s="150"/>
      <c r="C5" s="147" t="s">
        <v>210</v>
      </c>
      <c r="D5" s="148" t="s">
        <v>211</v>
      </c>
      <c r="E5" s="147" t="s">
        <v>212</v>
      </c>
    </row>
    <row r="6" spans="2:5" x14ac:dyDescent="0.25">
      <c r="B6" s="152">
        <v>1</v>
      </c>
      <c r="C6" s="145" t="s">
        <v>213</v>
      </c>
      <c r="D6" s="148" t="s">
        <v>214</v>
      </c>
      <c r="E6" s="148" t="s">
        <v>215</v>
      </c>
    </row>
    <row r="7" spans="2:5" x14ac:dyDescent="0.25">
      <c r="B7" s="152">
        <v>2</v>
      </c>
      <c r="C7" s="145" t="s">
        <v>216</v>
      </c>
      <c r="D7" s="148" t="s">
        <v>214</v>
      </c>
      <c r="E7" s="148" t="s">
        <v>217</v>
      </c>
    </row>
    <row r="8" spans="2:5" x14ac:dyDescent="0.25">
      <c r="B8" s="150" t="s">
        <v>130</v>
      </c>
      <c r="C8" s="148" t="s">
        <v>218</v>
      </c>
      <c r="D8" s="148" t="s">
        <v>219</v>
      </c>
      <c r="E8" s="148" t="s">
        <v>215</v>
      </c>
    </row>
    <row r="9" spans="2:5" x14ac:dyDescent="0.25">
      <c r="B9" s="150" t="s">
        <v>134</v>
      </c>
      <c r="C9" s="148" t="s">
        <v>220</v>
      </c>
      <c r="D9" s="148" t="s">
        <v>219</v>
      </c>
      <c r="E9" s="148" t="s">
        <v>221</v>
      </c>
    </row>
    <row r="10" spans="2:5" x14ac:dyDescent="0.25">
      <c r="B10" s="150">
        <v>4</v>
      </c>
      <c r="C10" s="148" t="s">
        <v>222</v>
      </c>
      <c r="D10" s="148"/>
      <c r="E10" s="148"/>
    </row>
    <row r="11" spans="2:5" x14ac:dyDescent="0.25">
      <c r="B11" s="150"/>
      <c r="C11" s="148" t="s">
        <v>223</v>
      </c>
      <c r="D11" s="148" t="s">
        <v>224</v>
      </c>
      <c r="E11" s="148" t="s">
        <v>215</v>
      </c>
    </row>
    <row r="12" spans="2:5" x14ac:dyDescent="0.25">
      <c r="B12" s="150"/>
      <c r="C12" s="148" t="s">
        <v>225</v>
      </c>
      <c r="D12" s="148" t="s">
        <v>224</v>
      </c>
      <c r="E12" s="148" t="s">
        <v>226</v>
      </c>
    </row>
    <row r="13" spans="2:5" x14ac:dyDescent="0.25">
      <c r="B13" s="150">
        <v>5</v>
      </c>
      <c r="C13" s="148" t="s">
        <v>227</v>
      </c>
      <c r="D13" s="148" t="s">
        <v>224</v>
      </c>
      <c r="E13" s="148" t="s">
        <v>228</v>
      </c>
    </row>
    <row r="14" spans="2:5" x14ac:dyDescent="0.25">
      <c r="B14" s="152">
        <v>6</v>
      </c>
      <c r="C14" s="145" t="s">
        <v>229</v>
      </c>
      <c r="D14" s="148" t="s">
        <v>214</v>
      </c>
      <c r="E14" s="148" t="s">
        <v>230</v>
      </c>
    </row>
    <row r="15" spans="2:5" x14ac:dyDescent="0.25">
      <c r="B15" s="150">
        <v>7</v>
      </c>
      <c r="C15" s="148" t="s">
        <v>231</v>
      </c>
      <c r="D15" s="148" t="s">
        <v>219</v>
      </c>
      <c r="E15" s="148" t="s">
        <v>232</v>
      </c>
    </row>
    <row r="16" spans="2:5" x14ac:dyDescent="0.25">
      <c r="B16" s="150"/>
      <c r="C16" s="147" t="s">
        <v>233</v>
      </c>
      <c r="D16" s="147"/>
      <c r="E16" s="147" t="s">
        <v>234</v>
      </c>
    </row>
  </sheetData>
  <mergeCells count="1">
    <mergeCell ref="B1:E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A6A19-9D5C-4DC7-BD70-7C0707D65450}">
  <sheetPr>
    <tabColor rgb="FFFFFF00"/>
  </sheetPr>
  <dimension ref="B2:H13"/>
  <sheetViews>
    <sheetView showGridLines="0" topLeftCell="B4" zoomScale="120" zoomScaleNormal="120" workbookViewId="0">
      <selection activeCell="G12" sqref="G12"/>
    </sheetView>
  </sheetViews>
  <sheetFormatPr baseColWidth="10" defaultColWidth="26.5703125" defaultRowHeight="12.75" x14ac:dyDescent="0.25"/>
  <cols>
    <col min="1" max="1" width="3" style="91" customWidth="1"/>
    <col min="2" max="2" width="4.42578125" style="104" customWidth="1"/>
    <col min="3" max="3" width="62" style="91" customWidth="1"/>
    <col min="4" max="4" width="30" style="91" customWidth="1"/>
    <col min="5" max="5" width="33.85546875" style="91" customWidth="1"/>
    <col min="6" max="6" width="34.5703125" style="91" bestFit="1" customWidth="1"/>
    <col min="7" max="16384" width="26.5703125" style="91"/>
  </cols>
  <sheetData>
    <row r="2" spans="2:8" ht="43.5" customHeight="1" x14ac:dyDescent="0.25">
      <c r="B2" s="241" t="s">
        <v>118</v>
      </c>
      <c r="C2" s="241"/>
      <c r="D2" s="241"/>
      <c r="E2" s="241"/>
      <c r="F2" s="241"/>
    </row>
    <row r="3" spans="2:8" s="94" customFormat="1" ht="25.5" customHeight="1" x14ac:dyDescent="0.25">
      <c r="B3" s="92" t="s">
        <v>119</v>
      </c>
      <c r="C3" s="93" t="s">
        <v>120</v>
      </c>
      <c r="D3" s="93" t="s">
        <v>121</v>
      </c>
      <c r="E3" s="93" t="s">
        <v>122</v>
      </c>
      <c r="F3" s="93" t="s">
        <v>123</v>
      </c>
      <c r="H3" s="94">
        <f>+SUM(F5:F8)</f>
        <v>0</v>
      </c>
    </row>
    <row r="4" spans="2:8" s="98" customFormat="1" ht="29.25" customHeight="1" x14ac:dyDescent="0.25">
      <c r="B4" s="95">
        <v>1</v>
      </c>
      <c r="C4" s="96" t="s">
        <v>124</v>
      </c>
      <c r="D4" s="97" t="s">
        <v>125</v>
      </c>
      <c r="E4" s="97" t="s">
        <v>305</v>
      </c>
      <c r="F4" s="97" t="s">
        <v>306</v>
      </c>
    </row>
    <row r="5" spans="2:8" s="98" customFormat="1" ht="29.25" customHeight="1" x14ac:dyDescent="0.25">
      <c r="B5" s="95">
        <v>2</v>
      </c>
      <c r="C5" s="96" t="s">
        <v>126</v>
      </c>
      <c r="D5" s="96" t="s">
        <v>127</v>
      </c>
      <c r="E5" s="97" t="s">
        <v>128</v>
      </c>
      <c r="F5" s="99" t="s">
        <v>129</v>
      </c>
    </row>
    <row r="6" spans="2:8" s="98" customFormat="1" ht="29.25" customHeight="1" x14ac:dyDescent="0.25">
      <c r="B6" s="95" t="s">
        <v>130</v>
      </c>
      <c r="C6" s="96" t="s">
        <v>131</v>
      </c>
      <c r="D6" s="96" t="s">
        <v>132</v>
      </c>
      <c r="E6" s="97" t="s">
        <v>303</v>
      </c>
      <c r="F6" s="100" t="s">
        <v>133</v>
      </c>
    </row>
    <row r="7" spans="2:8" s="98" customFormat="1" ht="29.25" customHeight="1" x14ac:dyDescent="0.25">
      <c r="B7" s="95" t="s">
        <v>134</v>
      </c>
      <c r="C7" s="96" t="s">
        <v>199</v>
      </c>
      <c r="D7" s="96" t="s">
        <v>135</v>
      </c>
      <c r="E7" s="97" t="s">
        <v>136</v>
      </c>
      <c r="F7" s="100" t="s">
        <v>133</v>
      </c>
    </row>
    <row r="8" spans="2:8" s="98" customFormat="1" ht="29.25" customHeight="1" x14ac:dyDescent="0.25">
      <c r="B8" s="95" t="s">
        <v>137</v>
      </c>
      <c r="C8" s="96" t="s">
        <v>138</v>
      </c>
      <c r="D8" s="97" t="s">
        <v>139</v>
      </c>
      <c r="E8" s="97" t="s">
        <v>197</v>
      </c>
      <c r="F8" s="101" t="s">
        <v>140</v>
      </c>
    </row>
    <row r="9" spans="2:8" s="98" customFormat="1" ht="29.25" customHeight="1" x14ac:dyDescent="0.25">
      <c r="B9" s="95" t="s">
        <v>141</v>
      </c>
      <c r="C9" s="96" t="s">
        <v>142</v>
      </c>
      <c r="D9" s="97" t="s">
        <v>139</v>
      </c>
      <c r="E9" s="97" t="s">
        <v>302</v>
      </c>
      <c r="F9" s="97" t="s">
        <v>143</v>
      </c>
    </row>
    <row r="10" spans="2:8" s="98" customFormat="1" ht="29.25" customHeight="1" x14ac:dyDescent="0.25">
      <c r="B10" s="95">
        <v>5</v>
      </c>
      <c r="C10" s="96" t="s">
        <v>144</v>
      </c>
      <c r="D10" s="97" t="s">
        <v>139</v>
      </c>
      <c r="E10" s="97" t="s">
        <v>198</v>
      </c>
      <c r="F10" s="101" t="s">
        <v>140</v>
      </c>
    </row>
    <row r="11" spans="2:8" s="98" customFormat="1" ht="29.25" customHeight="1" x14ac:dyDescent="0.25">
      <c r="B11" s="95">
        <v>6</v>
      </c>
      <c r="C11" s="96" t="s">
        <v>102</v>
      </c>
      <c r="D11" s="97" t="s">
        <v>125</v>
      </c>
      <c r="E11" s="97" t="s">
        <v>300</v>
      </c>
      <c r="F11" s="97" t="s">
        <v>301</v>
      </c>
    </row>
    <row r="12" spans="2:8" s="98" customFormat="1" ht="29.25" customHeight="1" x14ac:dyDescent="0.25">
      <c r="B12" s="95">
        <v>7</v>
      </c>
      <c r="C12" s="96" t="s">
        <v>298</v>
      </c>
      <c r="D12" s="97" t="s">
        <v>299</v>
      </c>
      <c r="E12" s="97" t="s">
        <v>304</v>
      </c>
      <c r="F12" s="101" t="s">
        <v>140</v>
      </c>
    </row>
    <row r="13" spans="2:8" s="98" customFormat="1" ht="42.75" customHeight="1" x14ac:dyDescent="0.25">
      <c r="B13" s="95">
        <v>8</v>
      </c>
      <c r="C13" s="96" t="s">
        <v>145</v>
      </c>
      <c r="D13" s="102" t="s">
        <v>38</v>
      </c>
      <c r="E13" s="103" t="s">
        <v>146</v>
      </c>
      <c r="F13" s="103" t="s">
        <v>147</v>
      </c>
    </row>
  </sheetData>
  <mergeCells count="1">
    <mergeCell ref="B2:F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B1:P35"/>
  <sheetViews>
    <sheetView showGridLines="0" zoomScale="120" zoomScaleNormal="120" workbookViewId="0">
      <selection activeCell="R2" sqref="R2"/>
    </sheetView>
  </sheetViews>
  <sheetFormatPr baseColWidth="10" defaultRowHeight="15" x14ac:dyDescent="0.25"/>
  <cols>
    <col min="1" max="1" width="4.140625" customWidth="1"/>
    <col min="2" max="11" width="5.42578125" bestFit="1" customWidth="1"/>
    <col min="12" max="12" width="4.140625" customWidth="1"/>
    <col min="13" max="13" width="23.5703125" bestFit="1" customWidth="1"/>
    <col min="15" max="15" width="18.5703125" customWidth="1"/>
  </cols>
  <sheetData>
    <row r="1" spans="2:16" ht="3.75" customHeight="1" x14ac:dyDescent="0.25"/>
    <row r="2" spans="2:16" x14ac:dyDescent="0.25">
      <c r="B2" s="227" t="s">
        <v>181</v>
      </c>
      <c r="C2" s="228"/>
      <c r="D2" s="228"/>
      <c r="E2" s="228"/>
      <c r="F2" s="228"/>
      <c r="G2" s="228"/>
      <c r="H2" s="228"/>
      <c r="I2" s="228"/>
      <c r="J2" s="228"/>
      <c r="K2" s="229"/>
      <c r="L2" s="65"/>
      <c r="M2" s="80" t="s">
        <v>77</v>
      </c>
      <c r="N2" s="80" t="s">
        <v>76</v>
      </c>
      <c r="O2" s="80" t="s">
        <v>182</v>
      </c>
    </row>
    <row r="3" spans="2:16" x14ac:dyDescent="0.25">
      <c r="B3" s="133">
        <v>117302</v>
      </c>
      <c r="C3" s="133">
        <v>117702</v>
      </c>
      <c r="D3" s="133">
        <v>117799</v>
      </c>
      <c r="E3" s="133">
        <v>117405</v>
      </c>
      <c r="F3" s="133"/>
      <c r="G3" s="133"/>
      <c r="H3" s="133"/>
      <c r="I3" s="133"/>
      <c r="J3" s="133"/>
      <c r="K3" s="133"/>
      <c r="L3" s="62" t="s">
        <v>79</v>
      </c>
      <c r="M3" s="46" t="s">
        <v>32</v>
      </c>
      <c r="N3" s="46" t="s">
        <v>69</v>
      </c>
      <c r="O3" s="46"/>
    </row>
    <row r="4" spans="2:16" x14ac:dyDescent="0.25">
      <c r="B4" s="133">
        <v>117303</v>
      </c>
      <c r="C4" s="133">
        <v>117410</v>
      </c>
      <c r="D4" s="133"/>
      <c r="E4" s="133"/>
      <c r="F4" s="133"/>
      <c r="G4" s="133"/>
      <c r="H4" s="133"/>
      <c r="I4" s="133"/>
      <c r="J4" s="133"/>
      <c r="K4" s="133"/>
      <c r="L4" s="62" t="s">
        <v>80</v>
      </c>
      <c r="M4" s="46" t="s">
        <v>6</v>
      </c>
      <c r="N4" s="46" t="s">
        <v>69</v>
      </c>
      <c r="O4" s="46"/>
    </row>
    <row r="5" spans="2:16" x14ac:dyDescent="0.25">
      <c r="B5" s="133">
        <v>117304</v>
      </c>
      <c r="C5" s="133">
        <v>200261</v>
      </c>
      <c r="D5" s="133"/>
      <c r="E5" s="133"/>
      <c r="F5" s="133"/>
      <c r="G5" s="133"/>
      <c r="H5" s="133"/>
      <c r="I5" s="133"/>
      <c r="J5" s="133"/>
      <c r="K5" s="133"/>
      <c r="L5" s="62" t="s">
        <v>81</v>
      </c>
      <c r="M5" s="46" t="s">
        <v>7</v>
      </c>
      <c r="N5" s="46" t="s">
        <v>69</v>
      </c>
      <c r="O5" s="46"/>
    </row>
    <row r="6" spans="2:16" x14ac:dyDescent="0.25">
      <c r="B6" s="133">
        <v>117322</v>
      </c>
      <c r="C6" s="133"/>
      <c r="D6" s="133"/>
      <c r="E6" s="133"/>
      <c r="F6" s="133"/>
      <c r="G6" s="133"/>
      <c r="H6" s="133"/>
      <c r="I6" s="133"/>
      <c r="J6" s="133"/>
      <c r="K6" s="133"/>
      <c r="L6" s="62" t="s">
        <v>82</v>
      </c>
      <c r="M6" s="46" t="s">
        <v>40</v>
      </c>
      <c r="N6" s="46" t="s">
        <v>69</v>
      </c>
      <c r="O6" s="46"/>
      <c r="P6" s="136"/>
    </row>
    <row r="7" spans="2:16" x14ac:dyDescent="0.25">
      <c r="B7" s="133">
        <v>117324</v>
      </c>
      <c r="C7" s="133"/>
      <c r="D7" s="133"/>
      <c r="E7" s="133"/>
      <c r="F7" s="133"/>
      <c r="G7" s="133"/>
      <c r="H7" s="133"/>
      <c r="I7" s="133"/>
      <c r="J7" s="133"/>
      <c r="K7" s="133"/>
      <c r="L7" s="62" t="s">
        <v>83</v>
      </c>
      <c r="M7" s="46" t="s">
        <v>8</v>
      </c>
      <c r="N7" s="46" t="s">
        <v>69</v>
      </c>
      <c r="O7" s="46"/>
    </row>
    <row r="8" spans="2:16" x14ac:dyDescent="0.25">
      <c r="B8" s="133">
        <v>117330</v>
      </c>
      <c r="C8" s="133"/>
      <c r="D8" s="133"/>
      <c r="E8" s="133"/>
      <c r="F8" s="133"/>
      <c r="G8" s="133"/>
      <c r="H8" s="133"/>
      <c r="I8" s="133"/>
      <c r="J8" s="133"/>
      <c r="K8" s="133"/>
      <c r="L8" s="62" t="s">
        <v>84</v>
      </c>
      <c r="M8" s="46" t="s">
        <v>25</v>
      </c>
      <c r="N8" s="46" t="s">
        <v>69</v>
      </c>
      <c r="O8" s="46"/>
    </row>
    <row r="9" spans="2:16" x14ac:dyDescent="0.25">
      <c r="B9" s="133">
        <v>117328</v>
      </c>
      <c r="C9" s="133">
        <v>117413</v>
      </c>
      <c r="D9" s="133">
        <v>117414</v>
      </c>
      <c r="E9" s="133"/>
      <c r="F9" s="133"/>
      <c r="G9" s="133"/>
      <c r="H9" s="133"/>
      <c r="I9" s="133"/>
      <c r="J9" s="133"/>
      <c r="K9" s="133"/>
      <c r="L9" s="62" t="s">
        <v>85</v>
      </c>
      <c r="M9" s="46" t="s">
        <v>50</v>
      </c>
      <c r="N9" s="46" t="s">
        <v>69</v>
      </c>
      <c r="O9" s="46"/>
    </row>
    <row r="10" spans="2:16" x14ac:dyDescent="0.25">
      <c r="B10" s="133">
        <v>117331</v>
      </c>
      <c r="C10" s="133"/>
      <c r="D10" s="133"/>
      <c r="E10" s="133"/>
      <c r="F10" s="133"/>
      <c r="G10" s="133"/>
      <c r="H10" s="133"/>
      <c r="I10" s="133"/>
      <c r="J10" s="133"/>
      <c r="K10" s="133"/>
      <c r="L10" s="62" t="s">
        <v>86</v>
      </c>
      <c r="M10" s="46" t="s">
        <v>51</v>
      </c>
      <c r="N10" s="46" t="s">
        <v>69</v>
      </c>
      <c r="O10" s="46"/>
    </row>
    <row r="11" spans="2:16" x14ac:dyDescent="0.25">
      <c r="B11" s="133">
        <v>117435</v>
      </c>
      <c r="C11" s="133">
        <v>117436</v>
      </c>
      <c r="D11" s="133">
        <v>117437</v>
      </c>
      <c r="E11" s="133">
        <v>117438</v>
      </c>
      <c r="F11" s="133">
        <v>117457</v>
      </c>
      <c r="G11" s="133">
        <v>117473</v>
      </c>
      <c r="H11" s="133">
        <v>117474</v>
      </c>
      <c r="I11" s="133">
        <v>117475</v>
      </c>
      <c r="J11" s="133">
        <v>117476</v>
      </c>
      <c r="K11" s="133">
        <v>117477</v>
      </c>
      <c r="L11" s="62" t="s">
        <v>10</v>
      </c>
      <c r="M11" s="46" t="s">
        <v>52</v>
      </c>
      <c r="N11" s="46" t="s">
        <v>69</v>
      </c>
      <c r="O11" s="46"/>
    </row>
    <row r="12" spans="2:16" x14ac:dyDescent="0.25">
      <c r="B12" s="133">
        <v>117310</v>
      </c>
      <c r="C12" s="133">
        <v>117430</v>
      </c>
      <c r="D12" s="133">
        <v>117431</v>
      </c>
      <c r="E12" s="133"/>
      <c r="F12" s="133"/>
      <c r="G12" s="133"/>
      <c r="H12" s="133"/>
      <c r="I12" s="133"/>
      <c r="J12" s="133"/>
      <c r="K12" s="133"/>
      <c r="L12" s="62" t="s">
        <v>13</v>
      </c>
      <c r="M12" s="46" t="s">
        <v>34</v>
      </c>
      <c r="N12" s="46" t="s">
        <v>69</v>
      </c>
      <c r="O12" s="46"/>
    </row>
    <row r="13" spans="2:16" x14ac:dyDescent="0.25">
      <c r="B13" s="133">
        <v>117317</v>
      </c>
      <c r="C13" s="133">
        <v>117409</v>
      </c>
      <c r="D13" s="133">
        <v>117469</v>
      </c>
      <c r="E13" s="133"/>
      <c r="F13" s="133"/>
      <c r="G13" s="133"/>
      <c r="H13" s="133"/>
      <c r="I13" s="133"/>
      <c r="J13" s="133"/>
      <c r="K13" s="133"/>
      <c r="L13" s="62" t="s">
        <v>14</v>
      </c>
      <c r="M13" s="46" t="s">
        <v>42</v>
      </c>
      <c r="N13" s="46" t="s">
        <v>69</v>
      </c>
      <c r="O13" s="46"/>
    </row>
    <row r="14" spans="2:16" x14ac:dyDescent="0.25">
      <c r="B14" s="133">
        <v>117306</v>
      </c>
      <c r="C14" s="133">
        <v>117706</v>
      </c>
      <c r="D14" s="133">
        <v>117448</v>
      </c>
      <c r="E14" s="133">
        <v>117449</v>
      </c>
      <c r="F14" s="133">
        <v>117472</v>
      </c>
      <c r="G14" s="133"/>
      <c r="H14" s="133"/>
      <c r="I14" s="133"/>
      <c r="J14" s="133"/>
      <c r="K14" s="133"/>
      <c r="L14" s="62" t="s">
        <v>16</v>
      </c>
      <c r="M14" s="46" t="s">
        <v>44</v>
      </c>
      <c r="N14" s="46" t="s">
        <v>69</v>
      </c>
      <c r="O14" s="46"/>
    </row>
    <row r="15" spans="2:16" x14ac:dyDescent="0.25">
      <c r="B15" s="133">
        <v>117308</v>
      </c>
      <c r="C15" s="133">
        <v>117454</v>
      </c>
      <c r="D15" s="133"/>
      <c r="E15" s="133"/>
      <c r="F15" s="133"/>
      <c r="G15" s="133"/>
      <c r="H15" s="133"/>
      <c r="I15" s="133"/>
      <c r="J15" s="133"/>
      <c r="K15" s="133"/>
      <c r="L15" s="62" t="s">
        <v>20</v>
      </c>
      <c r="M15" s="46" t="s">
        <v>48</v>
      </c>
      <c r="N15" s="46" t="s">
        <v>69</v>
      </c>
      <c r="O15" s="46"/>
    </row>
    <row r="16" spans="2:16" x14ac:dyDescent="0.25">
      <c r="B16" s="133">
        <v>117319</v>
      </c>
      <c r="C16" s="133"/>
      <c r="D16" s="133"/>
      <c r="E16" s="133"/>
      <c r="F16" s="133"/>
      <c r="G16" s="133"/>
      <c r="H16" s="133"/>
      <c r="I16" s="133"/>
      <c r="J16" s="133"/>
      <c r="K16" s="133"/>
      <c r="L16" s="62" t="s">
        <v>87</v>
      </c>
      <c r="M16" s="46" t="s">
        <v>49</v>
      </c>
      <c r="N16" s="46" t="s">
        <v>69</v>
      </c>
      <c r="O16" s="46"/>
    </row>
    <row r="17" spans="2:15" x14ac:dyDescent="0.25">
      <c r="B17" s="133">
        <v>117455</v>
      </c>
      <c r="C17" s="133"/>
      <c r="D17" s="133"/>
      <c r="E17" s="133"/>
      <c r="F17" s="133"/>
      <c r="G17" s="133"/>
      <c r="H17" s="133"/>
      <c r="I17" s="133"/>
      <c r="J17" s="133"/>
      <c r="K17" s="133"/>
      <c r="L17" s="62" t="s">
        <v>88</v>
      </c>
      <c r="M17" s="46" t="s">
        <v>28</v>
      </c>
      <c r="N17" s="46" t="s">
        <v>69</v>
      </c>
      <c r="O17" s="46"/>
    </row>
    <row r="18" spans="2:15" x14ac:dyDescent="0.25">
      <c r="B18" s="133">
        <v>117315</v>
      </c>
      <c r="C18" s="133">
        <v>117458</v>
      </c>
      <c r="D18" s="133"/>
      <c r="E18" s="133"/>
      <c r="F18" s="133"/>
      <c r="G18" s="133"/>
      <c r="H18" s="133"/>
      <c r="I18" s="133"/>
      <c r="J18" s="133"/>
      <c r="K18" s="133"/>
      <c r="L18" s="62" t="s">
        <v>89</v>
      </c>
      <c r="M18" s="46" t="s">
        <v>37</v>
      </c>
      <c r="N18" s="46" t="s">
        <v>69</v>
      </c>
      <c r="O18" s="46"/>
    </row>
    <row r="19" spans="2:15" x14ac:dyDescent="0.25">
      <c r="B19" s="133">
        <v>117326</v>
      </c>
      <c r="C19" s="133">
        <v>117426</v>
      </c>
      <c r="D19" s="133"/>
      <c r="E19" s="133"/>
      <c r="F19" s="133"/>
      <c r="G19" s="133"/>
      <c r="H19" s="133"/>
      <c r="I19" s="133"/>
      <c r="J19" s="133"/>
      <c r="K19" s="133"/>
      <c r="L19" s="62" t="s">
        <v>90</v>
      </c>
      <c r="M19" s="46" t="s">
        <v>29</v>
      </c>
      <c r="N19" s="46" t="s">
        <v>69</v>
      </c>
      <c r="O19" s="46"/>
    </row>
    <row r="20" spans="2:15" ht="3.75" customHeight="1" x14ac:dyDescent="0.25">
      <c r="B20" s="134"/>
      <c r="C20" s="90"/>
      <c r="D20" s="90"/>
      <c r="E20" s="90"/>
      <c r="F20" s="90"/>
      <c r="G20" s="90"/>
      <c r="H20" s="90"/>
      <c r="I20" s="90"/>
      <c r="J20" s="90"/>
      <c r="K20" s="90"/>
      <c r="L20" s="62"/>
    </row>
    <row r="21" spans="2:15" x14ac:dyDescent="0.25">
      <c r="B21" s="133">
        <v>117307</v>
      </c>
      <c r="C21" s="133">
        <v>117451</v>
      </c>
      <c r="D21" s="133">
        <v>117452</v>
      </c>
      <c r="E21" s="133"/>
      <c r="F21" s="133"/>
      <c r="G21" s="133"/>
      <c r="H21" s="133"/>
      <c r="I21" s="133"/>
      <c r="J21" s="133"/>
      <c r="K21" s="133"/>
      <c r="L21" s="62" t="s">
        <v>2</v>
      </c>
      <c r="M21" s="46" t="s">
        <v>30</v>
      </c>
      <c r="N21" s="46" t="s">
        <v>68</v>
      </c>
      <c r="O21" s="46"/>
    </row>
    <row r="22" spans="2:15" x14ac:dyDescent="0.25">
      <c r="B22" s="133">
        <v>117439</v>
      </c>
      <c r="C22" s="133">
        <v>117442</v>
      </c>
      <c r="D22" s="133">
        <v>117445</v>
      </c>
      <c r="E22" s="133"/>
      <c r="F22" s="133"/>
      <c r="G22" s="133"/>
      <c r="H22" s="133"/>
      <c r="I22" s="133"/>
      <c r="J22" s="133"/>
      <c r="K22" s="133"/>
      <c r="L22" s="62" t="s">
        <v>3</v>
      </c>
      <c r="M22" s="46" t="s">
        <v>53</v>
      </c>
      <c r="N22" s="46" t="s">
        <v>68</v>
      </c>
      <c r="O22" s="46"/>
    </row>
    <row r="23" spans="2:15" x14ac:dyDescent="0.25">
      <c r="B23" s="133">
        <v>117314</v>
      </c>
      <c r="C23" s="133">
        <v>117433</v>
      </c>
      <c r="D23" s="133">
        <v>117463</v>
      </c>
      <c r="E23" s="133"/>
      <c r="F23" s="133"/>
      <c r="G23" s="133"/>
      <c r="H23" s="133"/>
      <c r="I23" s="133"/>
      <c r="J23" s="133"/>
      <c r="K23" s="133"/>
      <c r="L23" s="62" t="s">
        <v>11</v>
      </c>
      <c r="M23" s="46" t="s">
        <v>33</v>
      </c>
      <c r="N23" s="46" t="s">
        <v>68</v>
      </c>
      <c r="O23" s="46"/>
    </row>
    <row r="24" spans="2:15" x14ac:dyDescent="0.25">
      <c r="B24" s="133">
        <v>117305</v>
      </c>
      <c r="C24" s="133">
        <v>117447</v>
      </c>
      <c r="D24" s="133">
        <v>117459</v>
      </c>
      <c r="E24" s="133"/>
      <c r="F24" s="133"/>
      <c r="G24" s="133"/>
      <c r="H24" s="133"/>
      <c r="I24" s="133"/>
      <c r="J24" s="133"/>
      <c r="K24" s="133"/>
      <c r="L24" s="62" t="s">
        <v>15</v>
      </c>
      <c r="M24" s="46" t="s">
        <v>43</v>
      </c>
      <c r="N24" s="46" t="s">
        <v>68</v>
      </c>
      <c r="O24" s="46"/>
    </row>
    <row r="25" spans="2:15" x14ac:dyDescent="0.25">
      <c r="B25" s="133">
        <v>117434</v>
      </c>
      <c r="C25" s="133"/>
      <c r="D25" s="133"/>
      <c r="E25" s="133"/>
      <c r="F25" s="133"/>
      <c r="G25" s="133"/>
      <c r="H25" s="133"/>
      <c r="I25" s="133"/>
      <c r="J25" s="133"/>
      <c r="K25" s="133"/>
      <c r="L25" s="62"/>
      <c r="M25" s="46" t="s">
        <v>54</v>
      </c>
      <c r="N25" s="46" t="s">
        <v>68</v>
      </c>
      <c r="O25" s="46"/>
    </row>
    <row r="26" spans="2:15" x14ac:dyDescent="0.25">
      <c r="B26" s="133">
        <v>117316</v>
      </c>
      <c r="C26" s="133">
        <v>117427</v>
      </c>
      <c r="D26" s="133">
        <v>117465</v>
      </c>
      <c r="E26" s="133"/>
      <c r="F26" s="133"/>
      <c r="G26" s="133"/>
      <c r="H26" s="133"/>
      <c r="I26" s="133"/>
      <c r="J26" s="133"/>
      <c r="K26" s="133"/>
      <c r="L26" s="62" t="s">
        <v>18</v>
      </c>
      <c r="M26" s="46" t="s">
        <v>26</v>
      </c>
      <c r="N26" s="46" t="s">
        <v>68</v>
      </c>
      <c r="O26" s="46"/>
    </row>
    <row r="27" spans="2:15" x14ac:dyDescent="0.25">
      <c r="B27" s="133">
        <v>117327</v>
      </c>
      <c r="C27" s="133">
        <v>117443</v>
      </c>
      <c r="D27" s="133">
        <v>117444</v>
      </c>
      <c r="E27" s="133">
        <v>117446</v>
      </c>
      <c r="F27" s="133"/>
      <c r="G27" s="133"/>
      <c r="H27" s="133"/>
      <c r="I27" s="133"/>
      <c r="J27" s="133"/>
      <c r="K27" s="133"/>
      <c r="L27" s="62" t="s">
        <v>22</v>
      </c>
      <c r="M27" s="46" t="s">
        <v>36</v>
      </c>
      <c r="N27" s="46" t="s">
        <v>68</v>
      </c>
      <c r="O27" s="46"/>
    </row>
    <row r="28" spans="2:15" ht="3.75" customHeight="1" x14ac:dyDescent="0.25">
      <c r="B28" s="134"/>
      <c r="C28" s="90"/>
      <c r="D28" s="90"/>
      <c r="E28" s="90"/>
      <c r="F28" s="90"/>
      <c r="G28" s="90"/>
      <c r="H28" s="90"/>
      <c r="I28" s="90"/>
      <c r="J28" s="90"/>
      <c r="K28" s="90"/>
      <c r="L28" s="62"/>
    </row>
    <row r="29" spans="2:15" x14ac:dyDescent="0.25">
      <c r="B29" s="133">
        <v>117318</v>
      </c>
      <c r="C29" s="133">
        <v>117401</v>
      </c>
      <c r="D29" s="133">
        <v>117403</v>
      </c>
      <c r="E29" s="133">
        <v>117406</v>
      </c>
      <c r="F29" s="133">
        <v>117407</v>
      </c>
      <c r="G29" s="133"/>
      <c r="H29" s="133"/>
      <c r="I29" s="133"/>
      <c r="J29" s="133"/>
      <c r="K29" s="133"/>
      <c r="L29" s="62" t="s">
        <v>4</v>
      </c>
      <c r="M29" s="46" t="s">
        <v>31</v>
      </c>
      <c r="N29" s="46" t="s">
        <v>67</v>
      </c>
      <c r="O29" s="46"/>
    </row>
    <row r="30" spans="2:15" x14ac:dyDescent="0.25">
      <c r="B30" s="133">
        <v>117325</v>
      </c>
      <c r="C30" s="133"/>
      <c r="D30" s="133"/>
      <c r="E30" s="133"/>
      <c r="F30" s="133"/>
      <c r="G30" s="133"/>
      <c r="H30" s="133"/>
      <c r="I30" s="133"/>
      <c r="J30" s="133"/>
      <c r="K30" s="133"/>
      <c r="L30" s="62" t="s">
        <v>91</v>
      </c>
      <c r="M30" s="46" t="s">
        <v>24</v>
      </c>
      <c r="N30" s="46" t="s">
        <v>67</v>
      </c>
      <c r="O30" s="46"/>
    </row>
    <row r="31" spans="2:15" x14ac:dyDescent="0.25">
      <c r="B31" s="133">
        <v>117313</v>
      </c>
      <c r="C31" s="133">
        <v>117418</v>
      </c>
      <c r="D31" s="133">
        <v>117419</v>
      </c>
      <c r="E31" s="133">
        <v>117422</v>
      </c>
      <c r="F31" s="133">
        <v>117464</v>
      </c>
      <c r="G31" s="133">
        <v>117468</v>
      </c>
      <c r="H31" s="133"/>
      <c r="I31" s="133"/>
      <c r="J31" s="133"/>
      <c r="K31" s="133"/>
      <c r="L31" s="62" t="s">
        <v>92</v>
      </c>
      <c r="M31" s="46" t="s">
        <v>41</v>
      </c>
      <c r="N31" s="46" t="s">
        <v>67</v>
      </c>
      <c r="O31" s="46"/>
    </row>
    <row r="32" spans="2:15" x14ac:dyDescent="0.25">
      <c r="B32" s="133">
        <v>117311</v>
      </c>
      <c r="C32" s="133">
        <v>117415</v>
      </c>
      <c r="D32" s="133">
        <v>117416</v>
      </c>
      <c r="E32" s="133">
        <v>117421</v>
      </c>
      <c r="F32" s="133">
        <v>117423</v>
      </c>
      <c r="G32" s="133">
        <v>117461</v>
      </c>
      <c r="H32" s="133">
        <v>117462</v>
      </c>
      <c r="I32" s="133"/>
      <c r="J32" s="133"/>
      <c r="K32" s="133"/>
      <c r="L32" s="62" t="s">
        <v>93</v>
      </c>
      <c r="M32" s="46" t="s">
        <v>45</v>
      </c>
      <c r="N32" s="46" t="s">
        <v>67</v>
      </c>
      <c r="O32" s="46"/>
    </row>
    <row r="33" spans="2:15" x14ac:dyDescent="0.25">
      <c r="B33" s="133">
        <v>117329</v>
      </c>
      <c r="C33" s="133">
        <v>117729</v>
      </c>
      <c r="D33" s="133"/>
      <c r="E33" s="133"/>
      <c r="F33" s="133"/>
      <c r="G33" s="133"/>
      <c r="H33" s="133"/>
      <c r="I33" s="133"/>
      <c r="J33" s="133"/>
      <c r="K33" s="133"/>
      <c r="L33" s="62" t="s">
        <v>94</v>
      </c>
      <c r="M33" s="46" t="s">
        <v>46</v>
      </c>
      <c r="N33" s="46" t="s">
        <v>67</v>
      </c>
      <c r="O33" s="46"/>
    </row>
    <row r="34" spans="2:15" x14ac:dyDescent="0.25">
      <c r="B34" s="133">
        <v>117309</v>
      </c>
      <c r="C34" s="133">
        <v>117467</v>
      </c>
      <c r="D34" s="133">
        <v>117470</v>
      </c>
      <c r="E34" s="133"/>
      <c r="F34" s="133"/>
      <c r="G34" s="133"/>
      <c r="H34" s="133"/>
      <c r="I34" s="133"/>
      <c r="J34" s="133"/>
      <c r="K34" s="133"/>
      <c r="L34" s="62" t="s">
        <v>95</v>
      </c>
      <c r="M34" s="46" t="s">
        <v>47</v>
      </c>
      <c r="N34" s="46" t="s">
        <v>67</v>
      </c>
      <c r="O34" s="46"/>
    </row>
    <row r="35" spans="2:15" x14ac:dyDescent="0.25">
      <c r="B35" s="133">
        <v>117312</v>
      </c>
      <c r="C35" s="133">
        <v>117471</v>
      </c>
      <c r="D35" s="133"/>
      <c r="E35" s="133"/>
      <c r="F35" s="133"/>
      <c r="G35" s="133"/>
      <c r="H35" s="133"/>
      <c r="I35" s="133"/>
      <c r="J35" s="133"/>
      <c r="K35" s="133"/>
      <c r="L35" s="62" t="s">
        <v>96</v>
      </c>
      <c r="M35" s="46" t="s">
        <v>35</v>
      </c>
      <c r="N35" s="46" t="s">
        <v>67</v>
      </c>
      <c r="O35" s="46"/>
    </row>
  </sheetData>
  <mergeCells count="1">
    <mergeCell ref="B2:K2"/>
  </mergeCells>
  <pageMargins left="0.7" right="0.7" top="0.75" bottom="0.75" header="0.3" footer="0.3"/>
  <pageSetup orientation="portrait" verticalDpi="0" r:id="rId1"/>
  <ignoredErrors>
    <ignoredError sqref="B20:K20 F3:K3 D4:K4 D5:K5 C6:K6 C7:K7 C8:K8 E9:K9 C10:K10 E12:K12 E13:K13 G14:K14 D15:K15 C16:K16 C17:K17 D18:K18 D19:K19 B28:K28 E21:K21 E22:K22 E23:K23 E24:K24 C25:K25 E26:K26 F27:K27 D35:K35 G29:K29 C30:K30 H31:K31 I32:K32 D33:I33 E34:K34 K3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Mapa 2024</vt:lpstr>
      <vt:lpstr>Junio 2024</vt:lpstr>
      <vt:lpstr>Hoja2</vt:lpstr>
      <vt:lpstr>Hoja1</vt:lpstr>
      <vt:lpstr>Formula denominador meta 1</vt:lpstr>
      <vt:lpstr>Fechas</vt:lpstr>
      <vt:lpstr>Horarios</vt:lpstr>
      <vt:lpstr>Rutas REM</vt:lpstr>
      <vt:lpstr>Cód REM</vt:lpstr>
      <vt:lpstr>'Mapa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Andres Gomez Muñoz</dc:creator>
  <cp:lastModifiedBy>Maria Soledad Retamal Y. (DSS)</cp:lastModifiedBy>
  <cp:lastPrinted>2022-08-29T15:12:09Z</cp:lastPrinted>
  <dcterms:created xsi:type="dcterms:W3CDTF">2012-06-22T20:45:36Z</dcterms:created>
  <dcterms:modified xsi:type="dcterms:W3CDTF">2024-08-19T20:50:33Z</dcterms:modified>
</cp:coreProperties>
</file>